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2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3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drawings/drawing4.xml" ContentType="application/vnd.openxmlformats-officedocument.drawing+xml"/>
  <Override PartName="/xl/charts/chart14.xml" ContentType="application/vnd.openxmlformats-officedocument.drawingml.chart+xml"/>
  <Override PartName="/xl/drawings/drawing5.xml" ContentType="application/vnd.openxmlformats-officedocument.drawing+xml"/>
  <Override PartName="/xl/charts/chart15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16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1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8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F:\Materi IDM 2020\"/>
    </mc:Choice>
  </mc:AlternateContent>
  <xr:revisionPtr revIDLastSave="0" documentId="13_ncr:1_{0176B319-DE05-40AB-AA9B-7552D269738A}" xr6:coauthVersionLast="45" xr6:coauthVersionMax="45" xr10:uidLastSave="{00000000-0000-0000-0000-000000000000}"/>
  <bookViews>
    <workbookView xWindow="-120" yWindow="-120" windowWidth="29040" windowHeight="15840" tabRatio="880" xr2:uid="{00000000-000D-0000-FFFF-FFFF00000000}"/>
  </bookViews>
  <sheets>
    <sheet name="INPUTAN DESA ...." sheetId="2" r:id="rId1"/>
    <sheet name="OLAH DATA PERITEM IDM 2020" sheetId="3" r:id="rId2"/>
    <sheet name="Grafik IKS" sheetId="4" r:id="rId3"/>
    <sheet name="Grafik IKE" sheetId="6" r:id="rId4"/>
    <sheet name="Grafik IKL" sheetId="7" r:id="rId5"/>
    <sheet name="Grafik IDM" sheetId="9" r:id="rId6"/>
    <sheet name="REKAP STATISTIK DESA 2020" sheetId="15" r:id="rId7"/>
    <sheet name="Lap. Stunting" sheetId="16" r:id="rId8"/>
  </sheets>
  <definedNames>
    <definedName name="_xlnm._FilterDatabase" localSheetId="0" hidden="1">'INPUTAN DESA ....'!$A$4:$H$895</definedName>
    <definedName name="_xlnm.Print_Area" localSheetId="1">'OLAH DATA PERITEM IDM 2020'!$A$1:$M$61</definedName>
    <definedName name="_xlnm.Print_Area" localSheetId="6">'REKAP STATISTIK DESA 2020'!$A$1:$M$57</definedName>
  </definedNames>
  <calcPr calcId="191029" calcMode="autoNoTable"/>
  <customWorkbookViews>
    <customWorkbookView name="Windows User - Personal View" guid="{476CFAD8-C487-44BD-897A-3F62331792BC}" mergeInterval="0" personalView="1" maximized="1" windowWidth="1362" windowHeight="542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7" i="2" l="1"/>
  <c r="E493" i="2" l="1"/>
  <c r="E492" i="2"/>
  <c r="E491" i="2"/>
  <c r="E490" i="2"/>
  <c r="E489" i="2"/>
  <c r="E488" i="2"/>
  <c r="E455" i="2"/>
  <c r="E454" i="2"/>
  <c r="E453" i="2"/>
  <c r="E452" i="2"/>
  <c r="E451" i="2"/>
  <c r="E450" i="2"/>
  <c r="E449" i="2"/>
  <c r="G457" i="2"/>
  <c r="E275" i="2"/>
  <c r="G247" i="2"/>
  <c r="G248" i="2" s="1"/>
  <c r="H226" i="2"/>
  <c r="H225" i="2"/>
  <c r="H224" i="2"/>
  <c r="H222" i="2"/>
  <c r="H220" i="2"/>
  <c r="H219" i="2"/>
  <c r="H218" i="2"/>
  <c r="H217" i="2"/>
  <c r="H216" i="2"/>
  <c r="H221" i="2" l="1"/>
  <c r="G229" i="2" s="1"/>
  <c r="H223" i="2"/>
  <c r="G231" i="2"/>
  <c r="G748" i="2"/>
  <c r="C6" i="15" l="1"/>
  <c r="C5" i="15"/>
  <c r="C4" i="15"/>
  <c r="C3" i="15"/>
  <c r="G122" i="2" l="1"/>
  <c r="G121" i="2" s="1"/>
  <c r="E120" i="2"/>
  <c r="E119" i="2"/>
  <c r="E122" i="2" l="1"/>
  <c r="G588" i="2"/>
  <c r="G587" i="2" s="1"/>
  <c r="G495" i="2"/>
  <c r="G494" i="2" s="1"/>
  <c r="G834" i="2" s="1"/>
  <c r="A484" i="2"/>
  <c r="E457" i="2" l="1"/>
  <c r="E458" i="2"/>
  <c r="G456" i="2" l="1"/>
  <c r="E130" i="2" l="1"/>
  <c r="G814" i="2"/>
  <c r="G815" i="2" s="1"/>
  <c r="G761" i="2"/>
  <c r="G762" i="2" s="1"/>
  <c r="E762" i="2" s="1"/>
  <c r="G78" i="2"/>
  <c r="E78" i="2" s="1"/>
  <c r="E13" i="2"/>
  <c r="E586" i="2"/>
  <c r="E585" i="2"/>
  <c r="A656" i="2"/>
  <c r="A666" i="2" s="1"/>
  <c r="A672" i="2" s="1"/>
  <c r="A678" i="2" s="1"/>
  <c r="A685" i="2" s="1"/>
  <c r="A694" i="2" s="1"/>
  <c r="A704" i="2" s="1"/>
  <c r="A709" i="2" s="1"/>
  <c r="A715" i="2" s="1"/>
  <c r="A723" i="2" s="1"/>
  <c r="A732" i="2" s="1"/>
  <c r="A736" i="2" s="1"/>
  <c r="A741" i="2" s="1"/>
  <c r="A742" i="2" s="1"/>
  <c r="A743" i="2" s="1"/>
  <c r="A744" i="2" s="1"/>
  <c r="A745" i="2" s="1"/>
  <c r="A746" i="2" s="1"/>
  <c r="A635" i="2"/>
  <c r="A636" i="2" s="1"/>
  <c r="A637" i="2" s="1"/>
  <c r="A638" i="2" s="1"/>
  <c r="A639" i="2" s="1"/>
  <c r="A609" i="2"/>
  <c r="A612" i="2" s="1"/>
  <c r="A613" i="2" s="1"/>
  <c r="A614" i="2" s="1"/>
  <c r="A615" i="2" s="1"/>
  <c r="A617" i="2" s="1"/>
  <c r="A628" i="2" s="1"/>
  <c r="A485" i="2"/>
  <c r="A486" i="2" s="1"/>
  <c r="A488" i="2" s="1"/>
  <c r="A498" i="2" s="1"/>
  <c r="A132" i="2"/>
  <c r="A136" i="2" s="1"/>
  <c r="A140" i="2" s="1"/>
  <c r="A144" i="2" s="1"/>
  <c r="A148" i="2" s="1"/>
  <c r="A152" i="2" s="1"/>
  <c r="A156" i="2" s="1"/>
  <c r="A160" i="2" s="1"/>
  <c r="A164" i="2" s="1"/>
  <c r="A168" i="2" s="1"/>
  <c r="A172" i="2" s="1"/>
  <c r="A175" i="2" s="1"/>
  <c r="A178" i="2" s="1"/>
  <c r="A181" i="2" s="1"/>
  <c r="A186" i="2" s="1"/>
  <c r="A192" i="2" s="1"/>
  <c r="A196" i="2" s="1"/>
  <c r="A198" i="2" s="1"/>
  <c r="A200" i="2" s="1"/>
  <c r="A202" i="2" s="1"/>
  <c r="A204" i="2" s="1"/>
  <c r="A207" i="2" s="1"/>
  <c r="A211" i="2" s="1"/>
  <c r="A215" i="2" s="1"/>
  <c r="A234" i="2" s="1"/>
  <c r="A250" i="2" s="1"/>
  <c r="A254" i="2" s="1"/>
  <c r="A258" i="2" s="1"/>
  <c r="A262" i="2" s="1"/>
  <c r="A267" i="2" s="1"/>
  <c r="A268" i="2" s="1"/>
  <c r="A270" i="2" s="1"/>
  <c r="A273" i="2" s="1"/>
  <c r="A279" i="2" s="1"/>
  <c r="A280" i="2" s="1"/>
  <c r="A282" i="2" s="1"/>
  <c r="A284" i="2" s="1"/>
  <c r="A287" i="2" s="1"/>
  <c r="A289" i="2" s="1"/>
  <c r="A291" i="2" s="1"/>
  <c r="A314" i="2" s="1"/>
  <c r="A317" i="2" s="1"/>
  <c r="A328" i="2" s="1"/>
  <c r="A329" i="2" s="1"/>
  <c r="A330" i="2" s="1"/>
  <c r="A338" i="2" s="1"/>
  <c r="A344" i="2" s="1"/>
  <c r="A345" i="2" s="1"/>
  <c r="A348" i="2" s="1"/>
  <c r="A354" i="2" s="1"/>
  <c r="A355" i="2" s="1"/>
  <c r="A356" i="2" s="1"/>
  <c r="A366" i="2" s="1"/>
  <c r="A374" i="2" s="1"/>
  <c r="A375" i="2" s="1"/>
  <c r="A386" i="2" s="1"/>
  <c r="A396" i="2" s="1"/>
  <c r="A404" i="2" s="1"/>
  <c r="E36" i="2"/>
  <c r="E35" i="2"/>
  <c r="E34" i="2"/>
  <c r="E33" i="2"/>
  <c r="D7" i="2"/>
  <c r="A11" i="2"/>
  <c r="A12" i="2" s="1"/>
  <c r="A13" i="2" s="1"/>
  <c r="A14" i="2" s="1"/>
  <c r="A15" i="2" s="1"/>
  <c r="A17" i="2" s="1"/>
  <c r="A19" i="2" s="1"/>
  <c r="A21" i="2" s="1"/>
  <c r="A23" i="2" s="1"/>
  <c r="A25" i="2" s="1"/>
  <c r="A28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G845" i="2"/>
  <c r="G750" i="2"/>
  <c r="G751" i="2" s="1"/>
  <c r="G752" i="2"/>
  <c r="G753" i="2" s="1"/>
  <c r="G754" i="2"/>
  <c r="G755" i="2" s="1"/>
  <c r="G800" i="2"/>
  <c r="L31" i="3" s="1"/>
  <c r="G829" i="2"/>
  <c r="E829" i="2" s="1"/>
  <c r="E683" i="2"/>
  <c r="E677" i="2"/>
  <c r="A16" i="3"/>
  <c r="A17" i="3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E22" i="2"/>
  <c r="C6" i="3" s="1"/>
  <c r="A1" i="9" s="1"/>
  <c r="E20" i="2"/>
  <c r="C5" i="3" s="1"/>
  <c r="E18" i="2"/>
  <c r="C4" i="3" s="1"/>
  <c r="E16" i="2"/>
  <c r="C3" i="3" s="1"/>
  <c r="G876" i="2"/>
  <c r="G877" i="2"/>
  <c r="E877" i="2" s="1"/>
  <c r="G878" i="2"/>
  <c r="E878" i="2" s="1"/>
  <c r="L10" i="3"/>
  <c r="G228" i="2"/>
  <c r="E248" i="2"/>
  <c r="G317" i="2"/>
  <c r="G318" i="2" s="1"/>
  <c r="E6" i="2"/>
  <c r="E7" i="2"/>
  <c r="E8" i="2"/>
  <c r="E10" i="2"/>
  <c r="E11" i="2"/>
  <c r="E12" i="2"/>
  <c r="E14" i="2"/>
  <c r="E15" i="2"/>
  <c r="E3" i="3" s="1"/>
  <c r="E17" i="2"/>
  <c r="E4" i="3" s="1"/>
  <c r="E19" i="2"/>
  <c r="E5" i="3" s="1"/>
  <c r="E21" i="2"/>
  <c r="E6" i="3" s="1"/>
  <c r="E23" i="2"/>
  <c r="E24" i="2"/>
  <c r="E25" i="2"/>
  <c r="E26" i="2"/>
  <c r="E27" i="2"/>
  <c r="E28" i="2"/>
  <c r="E29" i="2"/>
  <c r="E30" i="2"/>
  <c r="E31" i="2"/>
  <c r="E32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72" i="2"/>
  <c r="E73" i="2"/>
  <c r="E75" i="2"/>
  <c r="E80" i="2"/>
  <c r="E81" i="2"/>
  <c r="E82" i="2"/>
  <c r="E83" i="2"/>
  <c r="E85" i="2"/>
  <c r="E86" i="2"/>
  <c r="E87" i="2"/>
  <c r="E89" i="2"/>
  <c r="E90" i="2"/>
  <c r="E91" i="2"/>
  <c r="E92" i="2"/>
  <c r="E93" i="2"/>
  <c r="E94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21" i="2"/>
  <c r="E123" i="2"/>
  <c r="E124" i="2"/>
  <c r="E128" i="2"/>
  <c r="E129" i="2"/>
  <c r="E132" i="2"/>
  <c r="E133" i="2"/>
  <c r="E134" i="2"/>
  <c r="E136" i="2"/>
  <c r="E137" i="2"/>
  <c r="E138" i="2"/>
  <c r="E140" i="2"/>
  <c r="E141" i="2"/>
  <c r="E142" i="2"/>
  <c r="E144" i="2"/>
  <c r="E145" i="2"/>
  <c r="E146" i="2"/>
  <c r="E148" i="2"/>
  <c r="E149" i="2"/>
  <c r="E150" i="2"/>
  <c r="E152" i="2"/>
  <c r="E153" i="2"/>
  <c r="E154" i="2"/>
  <c r="E156" i="2"/>
  <c r="E157" i="2"/>
  <c r="E158" i="2"/>
  <c r="E160" i="2"/>
  <c r="E161" i="2"/>
  <c r="E162" i="2"/>
  <c r="E164" i="2"/>
  <c r="E165" i="2"/>
  <c r="E166" i="2"/>
  <c r="E168" i="2"/>
  <c r="E169" i="2"/>
  <c r="E170" i="2"/>
  <c r="E172" i="2"/>
  <c r="E173" i="2"/>
  <c r="E175" i="2"/>
  <c r="E176" i="2"/>
  <c r="E178" i="2"/>
  <c r="E179" i="2"/>
  <c r="E181" i="2"/>
  <c r="E182" i="2"/>
  <c r="E183" i="2"/>
  <c r="E184" i="2"/>
  <c r="E185" i="2"/>
  <c r="E186" i="2"/>
  <c r="E187" i="2"/>
  <c r="E188" i="2"/>
  <c r="E189" i="2"/>
  <c r="E190" i="2"/>
  <c r="E192" i="2"/>
  <c r="E193" i="2"/>
  <c r="E194" i="2"/>
  <c r="E196" i="2"/>
  <c r="E197" i="2"/>
  <c r="E198" i="2"/>
  <c r="E199" i="2"/>
  <c r="E200" i="2"/>
  <c r="E201" i="2"/>
  <c r="E202" i="2"/>
  <c r="E203" i="2"/>
  <c r="E204" i="2"/>
  <c r="E205" i="2"/>
  <c r="E207" i="2"/>
  <c r="E208" i="2"/>
  <c r="E209" i="2"/>
  <c r="E211" i="2"/>
  <c r="E212" i="2"/>
  <c r="E213" i="2"/>
  <c r="E216" i="2"/>
  <c r="E217" i="2"/>
  <c r="E218" i="2"/>
  <c r="E219" i="2"/>
  <c r="E220" i="2"/>
  <c r="E221" i="2"/>
  <c r="E222" i="2"/>
  <c r="E223" i="2"/>
  <c r="E224" i="2"/>
  <c r="E225" i="2"/>
  <c r="E226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50" i="2"/>
  <c r="E251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7" i="2"/>
  <c r="E268" i="2"/>
  <c r="E269" i="2"/>
  <c r="E270" i="2"/>
  <c r="E271" i="2"/>
  <c r="E273" i="2"/>
  <c r="E274" i="2"/>
  <c r="E276" i="2"/>
  <c r="E277" i="2"/>
  <c r="E278" i="2"/>
  <c r="E279" i="2"/>
  <c r="E280" i="2"/>
  <c r="E281" i="2"/>
  <c r="E282" i="2"/>
  <c r="E284" i="2"/>
  <c r="E285" i="2"/>
  <c r="E287" i="2"/>
  <c r="E288" i="2"/>
  <c r="E289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6" i="2"/>
  <c r="E387" i="2"/>
  <c r="E388" i="2"/>
  <c r="E396" i="2"/>
  <c r="E397" i="2"/>
  <c r="E398" i="2"/>
  <c r="E399" i="2"/>
  <c r="E400" i="2"/>
  <c r="E401" i="2"/>
  <c r="E402" i="2"/>
  <c r="E403" i="2"/>
  <c r="E404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7" i="2"/>
  <c r="E442" i="2"/>
  <c r="E443" i="2"/>
  <c r="E444" i="2"/>
  <c r="E446" i="2"/>
  <c r="E447" i="2"/>
  <c r="E448" i="2"/>
  <c r="E456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83" i="2"/>
  <c r="E484" i="2"/>
  <c r="E485" i="2"/>
  <c r="E486" i="2"/>
  <c r="E487" i="2"/>
  <c r="E496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1" i="2"/>
  <c r="E522" i="2"/>
  <c r="E523" i="2"/>
  <c r="E524" i="2"/>
  <c r="E526" i="2"/>
  <c r="E527" i="2"/>
  <c r="E528" i="2"/>
  <c r="E529" i="2"/>
  <c r="E530" i="2"/>
  <c r="E531" i="2"/>
  <c r="E532" i="2"/>
  <c r="E533" i="2"/>
  <c r="E534" i="2"/>
  <c r="E535" i="2"/>
  <c r="E537" i="2"/>
  <c r="E538" i="2"/>
  <c r="E539" i="2"/>
  <c r="E541" i="2"/>
  <c r="E542" i="2"/>
  <c r="E545" i="2"/>
  <c r="E550" i="2"/>
  <c r="E553" i="2"/>
  <c r="E560" i="2"/>
  <c r="E575" i="2"/>
  <c r="E576" i="2"/>
  <c r="E600" i="2"/>
  <c r="E601" i="2"/>
  <c r="E602" i="2"/>
  <c r="E603" i="2"/>
  <c r="E604" i="2"/>
  <c r="E605" i="2"/>
  <c r="E608" i="2"/>
  <c r="E609" i="2"/>
  <c r="E610" i="2"/>
  <c r="E611" i="2"/>
  <c r="E612" i="2"/>
  <c r="E613" i="2"/>
  <c r="E614" i="2"/>
  <c r="E615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6" i="2"/>
  <c r="E657" i="2"/>
  <c r="E658" i="2"/>
  <c r="E659" i="2"/>
  <c r="E660" i="2"/>
  <c r="E661" i="2"/>
  <c r="E662" i="2"/>
  <c r="E663" i="2"/>
  <c r="E664" i="2"/>
  <c r="E666" i="2"/>
  <c r="E667" i="2"/>
  <c r="E668" i="2"/>
  <c r="E669" i="2"/>
  <c r="E672" i="2"/>
  <c r="E673" i="2"/>
  <c r="E674" i="2"/>
  <c r="E675" i="2"/>
  <c r="E676" i="2"/>
  <c r="E678" i="2"/>
  <c r="E679" i="2"/>
  <c r="E680" i="2"/>
  <c r="E681" i="2"/>
  <c r="E682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4" i="2"/>
  <c r="E705" i="2"/>
  <c r="E706" i="2"/>
  <c r="E707" i="2"/>
  <c r="E708" i="2"/>
  <c r="E709" i="2"/>
  <c r="E710" i="2"/>
  <c r="E711" i="2"/>
  <c r="E712" i="2"/>
  <c r="E713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2" i="2"/>
  <c r="E733" i="2"/>
  <c r="E734" i="2"/>
  <c r="E735" i="2"/>
  <c r="E736" i="2"/>
  <c r="E737" i="2"/>
  <c r="E738" i="2"/>
  <c r="E739" i="2"/>
  <c r="E741" i="2"/>
  <c r="E742" i="2"/>
  <c r="E743" i="2"/>
  <c r="E744" i="2"/>
  <c r="E745" i="2"/>
  <c r="E746" i="2"/>
  <c r="E748" i="2"/>
  <c r="E754" i="2"/>
  <c r="G759" i="2"/>
  <c r="E759" i="2" s="1"/>
  <c r="G764" i="2"/>
  <c r="E764" i="2" s="1"/>
  <c r="G766" i="2"/>
  <c r="G767" i="2" s="1"/>
  <c r="G768" i="2"/>
  <c r="E768" i="2" s="1"/>
  <c r="G770" i="2"/>
  <c r="G771" i="2" s="1"/>
  <c r="E771" i="2" s="1"/>
  <c r="G772" i="2"/>
  <c r="E772" i="2" s="1"/>
  <c r="G774" i="2"/>
  <c r="G775" i="2" s="1"/>
  <c r="G776" i="2"/>
  <c r="E776" i="2" s="1"/>
  <c r="G778" i="2"/>
  <c r="G779" i="2" s="1"/>
  <c r="E779" i="2" s="1"/>
  <c r="G780" i="2"/>
  <c r="G781" i="2" s="1"/>
  <c r="G782" i="2"/>
  <c r="G783" i="2" s="1"/>
  <c r="G784" i="2"/>
  <c r="E784" i="2" s="1"/>
  <c r="G788" i="2"/>
  <c r="E788" i="2" s="1"/>
  <c r="G789" i="2"/>
  <c r="G790" i="2"/>
  <c r="E790" i="2" s="1"/>
  <c r="G791" i="2"/>
  <c r="E791" i="2" s="1"/>
  <c r="G792" i="2"/>
  <c r="E792" i="2" s="1"/>
  <c r="G793" i="2"/>
  <c r="E793" i="2" s="1"/>
  <c r="G794" i="2"/>
  <c r="E794" i="2" s="1"/>
  <c r="G798" i="2"/>
  <c r="E798" i="2" s="1"/>
  <c r="G802" i="2"/>
  <c r="E802" i="2" s="1"/>
  <c r="G804" i="2"/>
  <c r="G805" i="2" s="1"/>
  <c r="G806" i="2"/>
  <c r="G808" i="2"/>
  <c r="E808" i="2" s="1"/>
  <c r="G811" i="2"/>
  <c r="E811" i="2" s="1"/>
  <c r="G812" i="2"/>
  <c r="E812" i="2" s="1"/>
  <c r="G817" i="2"/>
  <c r="E817" i="2" s="1"/>
  <c r="G819" i="2"/>
  <c r="E819" i="2" s="1"/>
  <c r="G821" i="2"/>
  <c r="E821" i="2" s="1"/>
  <c r="G823" i="2"/>
  <c r="G824" i="2" s="1"/>
  <c r="E824" i="2" s="1"/>
  <c r="G825" i="2"/>
  <c r="E825" i="2" s="1"/>
  <c r="G827" i="2"/>
  <c r="G828" i="2" s="1"/>
  <c r="L39" i="3" s="1"/>
  <c r="E834" i="2"/>
  <c r="G837" i="2"/>
  <c r="G838" i="2" s="1"/>
  <c r="L48" i="3" s="1"/>
  <c r="G839" i="2"/>
  <c r="E839" i="2" s="1"/>
  <c r="G843" i="2"/>
  <c r="E843" i="2" s="1"/>
  <c r="G848" i="2"/>
  <c r="G849" i="2" s="1"/>
  <c r="G851" i="2"/>
  <c r="E851" i="2" s="1"/>
  <c r="G854" i="2"/>
  <c r="E854" i="2" s="1"/>
  <c r="G857" i="2"/>
  <c r="E857" i="2" s="1"/>
  <c r="G860" i="2"/>
  <c r="G862" i="2"/>
  <c r="G863" i="2" s="1"/>
  <c r="L57" i="3" s="1"/>
  <c r="G864" i="2"/>
  <c r="G865" i="2" s="1"/>
  <c r="G869" i="2"/>
  <c r="E869" i="2" s="1"/>
  <c r="G870" i="2"/>
  <c r="E870" i="2" s="1"/>
  <c r="G871" i="2"/>
  <c r="E871" i="2" s="1"/>
  <c r="G872" i="2"/>
  <c r="E872" i="2" s="1"/>
  <c r="G882" i="2"/>
  <c r="E882" i="2" s="1"/>
  <c r="G883" i="2"/>
  <c r="G884" i="2"/>
  <c r="E884" i="2" s="1"/>
  <c r="A73" i="2"/>
  <c r="A75" i="2" s="1"/>
  <c r="A79" i="2" s="1"/>
  <c r="A80" i="2" s="1"/>
  <c r="A81" i="2" s="1"/>
  <c r="A82" i="2" s="1"/>
  <c r="A83" i="2" s="1"/>
  <c r="A85" i="2" s="1"/>
  <c r="A86" i="2" s="1"/>
  <c r="A87" i="2" s="1"/>
  <c r="A89" i="2" s="1"/>
  <c r="A96" i="2" s="1"/>
  <c r="A123" i="2" s="1"/>
  <c r="P60" i="3"/>
  <c r="P56" i="3"/>
  <c r="P52" i="3"/>
  <c r="P51" i="3"/>
  <c r="P54" i="3"/>
  <c r="P48" i="3"/>
  <c r="P47" i="3"/>
  <c r="R47" i="3" s="1"/>
  <c r="P39" i="3"/>
  <c r="P41" i="3"/>
  <c r="Q39" i="3" s="1"/>
  <c r="P43" i="3"/>
  <c r="P44" i="3"/>
  <c r="P27" i="3"/>
  <c r="P31" i="3"/>
  <c r="P34" i="3"/>
  <c r="Q27" i="3" s="1"/>
  <c r="P37" i="3"/>
  <c r="P20" i="3"/>
  <c r="P23" i="3"/>
  <c r="Q20" i="3" s="1"/>
  <c r="P26" i="3"/>
  <c r="P15" i="3"/>
  <c r="P17" i="3"/>
  <c r="Q15" i="3" s="1"/>
  <c r="R15" i="3" s="1"/>
  <c r="P19" i="3"/>
  <c r="P59" i="3"/>
  <c r="R59" i="3"/>
  <c r="E814" i="2"/>
  <c r="M39" i="3" l="1"/>
  <c r="J35" i="15"/>
  <c r="M31" i="3"/>
  <c r="L27" i="15" s="1"/>
  <c r="K27" i="15" s="1"/>
  <c r="J27" i="15"/>
  <c r="M57" i="3"/>
  <c r="E17" i="6" s="1"/>
  <c r="J53" i="15"/>
  <c r="M48" i="3"/>
  <c r="J44" i="15"/>
  <c r="D8" i="2"/>
  <c r="D10" i="2" s="1"/>
  <c r="L40" i="3"/>
  <c r="E750" i="2"/>
  <c r="G763" i="2"/>
  <c r="L18" i="3" s="1"/>
  <c r="E804" i="2"/>
  <c r="A407" i="2"/>
  <c r="A505" i="2"/>
  <c r="A507" i="2" s="1"/>
  <c r="A508" i="2" s="1"/>
  <c r="A509" i="2" s="1"/>
  <c r="A511" i="2" s="1"/>
  <c r="A512" i="2" s="1"/>
  <c r="A513" i="2" s="1"/>
  <c r="A516" i="2" s="1"/>
  <c r="A517" i="2" s="1"/>
  <c r="A518" i="2" s="1"/>
  <c r="A519" i="2" s="1"/>
  <c r="A521" i="2" s="1"/>
  <c r="A523" i="2" s="1"/>
  <c r="A526" i="2" s="1"/>
  <c r="A528" i="2" s="1"/>
  <c r="A530" i="2" s="1"/>
  <c r="A531" i="2" s="1"/>
  <c r="A537" i="2" s="1"/>
  <c r="A538" i="2" s="1"/>
  <c r="A600" i="2" s="1"/>
  <c r="A601" i="2" s="1"/>
  <c r="A602" i="2" s="1"/>
  <c r="A603" i="2" s="1"/>
  <c r="A604" i="2" s="1"/>
  <c r="A605" i="2" s="1"/>
  <c r="E848" i="2"/>
  <c r="G803" i="2"/>
  <c r="L35" i="3"/>
  <c r="E805" i="2"/>
  <c r="G809" i="2"/>
  <c r="E809" i="2" s="1"/>
  <c r="E782" i="2"/>
  <c r="E828" i="2"/>
  <c r="E761" i="2"/>
  <c r="G830" i="2"/>
  <c r="G820" i="2"/>
  <c r="E820" i="2" s="1"/>
  <c r="G826" i="2"/>
  <c r="E826" i="2" s="1"/>
  <c r="E753" i="2"/>
  <c r="E864" i="2"/>
  <c r="G855" i="2"/>
  <c r="G856" i="2" s="1"/>
  <c r="E856" i="2" s="1"/>
  <c r="E752" i="2"/>
  <c r="G799" i="2"/>
  <c r="E862" i="2"/>
  <c r="E751" i="2"/>
  <c r="G79" i="2"/>
  <c r="E79" i="2" s="1"/>
  <c r="E863" i="2"/>
  <c r="G840" i="2"/>
  <c r="G841" i="2" s="1"/>
  <c r="E841" i="2" s="1"/>
  <c r="G852" i="2"/>
  <c r="G756" i="2"/>
  <c r="G773" i="2"/>
  <c r="E773" i="2" s="1"/>
  <c r="G801" i="2"/>
  <c r="E801" i="2" s="1"/>
  <c r="E849" i="2"/>
  <c r="G850" i="2"/>
  <c r="E755" i="2"/>
  <c r="E781" i="2"/>
  <c r="L27" i="3"/>
  <c r="E318" i="2"/>
  <c r="L58" i="3"/>
  <c r="E865" i="2"/>
  <c r="E815" i="2"/>
  <c r="G816" i="2"/>
  <c r="L43" i="3" s="1"/>
  <c r="J39" i="15" s="1"/>
  <c r="E838" i="2"/>
  <c r="G844" i="2"/>
  <c r="G858" i="2"/>
  <c r="G818" i="2"/>
  <c r="L44" i="3" s="1"/>
  <c r="J40" i="15" s="1"/>
  <c r="G765" i="2"/>
  <c r="G777" i="2"/>
  <c r="G873" i="2"/>
  <c r="E837" i="2"/>
  <c r="E827" i="2"/>
  <c r="E823" i="2"/>
  <c r="E800" i="2"/>
  <c r="E778" i="2"/>
  <c r="E774" i="2"/>
  <c r="E770" i="2"/>
  <c r="E766" i="2"/>
  <c r="G760" i="2"/>
  <c r="G749" i="2"/>
  <c r="G785" i="2"/>
  <c r="G835" i="2"/>
  <c r="G769" i="2"/>
  <c r="E228" i="2"/>
  <c r="L16" i="3"/>
  <c r="E780" i="2"/>
  <c r="G822" i="2"/>
  <c r="E317" i="2"/>
  <c r="G786" i="2"/>
  <c r="E33" i="4"/>
  <c r="E767" i="2"/>
  <c r="L21" i="3"/>
  <c r="L25" i="3"/>
  <c r="E775" i="2"/>
  <c r="E783" i="2"/>
  <c r="L28" i="3"/>
  <c r="E876" i="2"/>
  <c r="G879" i="2"/>
  <c r="E806" i="2"/>
  <c r="G807" i="2"/>
  <c r="G813" i="2"/>
  <c r="E883" i="2"/>
  <c r="G885" i="2"/>
  <c r="E860" i="2"/>
  <c r="G861" i="2"/>
  <c r="L41" i="3"/>
  <c r="J37" i="15" s="1"/>
  <c r="G846" i="2"/>
  <c r="E845" i="2"/>
  <c r="E227" i="2"/>
  <c r="L23" i="3"/>
  <c r="E789" i="2"/>
  <c r="G795" i="2"/>
  <c r="E23" i="4" l="1"/>
  <c r="M40" i="3"/>
  <c r="E34" i="4" s="1"/>
  <c r="J36" i="15"/>
  <c r="G35" i="15" s="1"/>
  <c r="H35" i="15" s="1"/>
  <c r="M25" i="3"/>
  <c r="L21" i="15" s="1"/>
  <c r="K21" i="15" s="1"/>
  <c r="J21" i="15"/>
  <c r="M16" i="3"/>
  <c r="J12" i="15"/>
  <c r="M27" i="3"/>
  <c r="L23" i="15" s="1"/>
  <c r="K23" i="15" s="1"/>
  <c r="J23" i="15"/>
  <c r="M18" i="3"/>
  <c r="J14" i="15"/>
  <c r="M28" i="3"/>
  <c r="L24" i="15" s="1"/>
  <c r="K24" i="15" s="1"/>
  <c r="J24" i="15"/>
  <c r="M21" i="3"/>
  <c r="L17" i="15" s="1"/>
  <c r="K17" i="15" s="1"/>
  <c r="J17" i="15"/>
  <c r="E4" i="6"/>
  <c r="L44" i="15"/>
  <c r="K44" i="15" s="1"/>
  <c r="M23" i="3"/>
  <c r="L19" i="15" s="1"/>
  <c r="K19" i="15" s="1"/>
  <c r="J19" i="15"/>
  <c r="M58" i="3"/>
  <c r="E18" i="6" s="1"/>
  <c r="J54" i="15"/>
  <c r="M35" i="3"/>
  <c r="J31" i="15"/>
  <c r="L53" i="15"/>
  <c r="K53" i="15" s="1"/>
  <c r="L35" i="15"/>
  <c r="K35" i="15" s="1"/>
  <c r="D11" i="2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D66" i="2" s="1"/>
  <c r="D67" i="2" s="1"/>
  <c r="D68" i="2" s="1"/>
  <c r="D72" i="2" s="1"/>
  <c r="D73" i="2" s="1"/>
  <c r="D75" i="2" s="1"/>
  <c r="D79" i="2" s="1"/>
  <c r="D80" i="2" s="1"/>
  <c r="D81" i="2" s="1"/>
  <c r="D82" i="2" s="1"/>
  <c r="D83" i="2" s="1"/>
  <c r="D85" i="2" s="1"/>
  <c r="D86" i="2" s="1"/>
  <c r="D87" i="2" s="1"/>
  <c r="D89" i="2" s="1"/>
  <c r="D90" i="2" s="1"/>
  <c r="D91" i="2" s="1"/>
  <c r="D92" i="2" s="1"/>
  <c r="D93" i="2" s="1"/>
  <c r="D94" i="2" s="1"/>
  <c r="D96" i="2" s="1"/>
  <c r="D97" i="2" s="1"/>
  <c r="D98" i="2" s="1"/>
  <c r="D99" i="2" s="1"/>
  <c r="D100" i="2" s="1"/>
  <c r="D101" i="2" s="1"/>
  <c r="D102" i="2" s="1"/>
  <c r="D103" i="2" s="1"/>
  <c r="D104" i="2" s="1"/>
  <c r="D105" i="2" s="1"/>
  <c r="D106" i="2" s="1"/>
  <c r="D107" i="2" s="1"/>
  <c r="D108" i="2" s="1"/>
  <c r="D109" i="2" s="1"/>
  <c r="D110" i="2" s="1"/>
  <c r="D111" i="2" s="1"/>
  <c r="D112" i="2" s="1"/>
  <c r="D113" i="2" s="1"/>
  <c r="D114" i="2" s="1"/>
  <c r="D115" i="2" s="1"/>
  <c r="D116" i="2" s="1"/>
  <c r="D117" i="2" s="1"/>
  <c r="D118" i="2" s="1"/>
  <c r="D119" i="2" s="1"/>
  <c r="D120" i="2" s="1"/>
  <c r="D121" i="2" s="1"/>
  <c r="D123" i="2" s="1"/>
  <c r="D124" i="2" s="1"/>
  <c r="D128" i="2" s="1"/>
  <c r="D129" i="2" s="1"/>
  <c r="D130" i="2" s="1"/>
  <c r="D132" i="2" s="1"/>
  <c r="D133" i="2" s="1"/>
  <c r="D134" i="2" s="1"/>
  <c r="D136" i="2" s="1"/>
  <c r="D137" i="2" s="1"/>
  <c r="D138" i="2" s="1"/>
  <c r="D140" i="2" s="1"/>
  <c r="D141" i="2" s="1"/>
  <c r="D142" i="2" s="1"/>
  <c r="D144" i="2" s="1"/>
  <c r="D145" i="2" s="1"/>
  <c r="D146" i="2" s="1"/>
  <c r="D148" i="2" s="1"/>
  <c r="D149" i="2" s="1"/>
  <c r="D150" i="2" s="1"/>
  <c r="D152" i="2" s="1"/>
  <c r="D153" i="2" s="1"/>
  <c r="D154" i="2" s="1"/>
  <c r="D156" i="2" s="1"/>
  <c r="D157" i="2" s="1"/>
  <c r="D158" i="2" s="1"/>
  <c r="D160" i="2" s="1"/>
  <c r="D161" i="2" s="1"/>
  <c r="D162" i="2" s="1"/>
  <c r="D164" i="2" s="1"/>
  <c r="D165" i="2" s="1"/>
  <c r="D166" i="2" s="1"/>
  <c r="D168" i="2" s="1"/>
  <c r="D169" i="2" s="1"/>
  <c r="D170" i="2" s="1"/>
  <c r="D172" i="2" s="1"/>
  <c r="D173" i="2" s="1"/>
  <c r="D175" i="2" s="1"/>
  <c r="D176" i="2" s="1"/>
  <c r="D178" i="2" s="1"/>
  <c r="D179" i="2" s="1"/>
  <c r="D181" i="2" s="1"/>
  <c r="D182" i="2" s="1"/>
  <c r="D183" i="2" s="1"/>
  <c r="D184" i="2" s="1"/>
  <c r="D185" i="2" s="1"/>
  <c r="D186" i="2" s="1"/>
  <c r="D187" i="2" s="1"/>
  <c r="D188" i="2" s="1"/>
  <c r="D189" i="2" s="1"/>
  <c r="D190" i="2" s="1"/>
  <c r="D192" i="2" s="1"/>
  <c r="D193" i="2" s="1"/>
  <c r="D194" i="2" s="1"/>
  <c r="D196" i="2" s="1"/>
  <c r="D197" i="2" s="1"/>
  <c r="D198" i="2" s="1"/>
  <c r="D199" i="2" s="1"/>
  <c r="D200" i="2" s="1"/>
  <c r="D201" i="2" s="1"/>
  <c r="D202" i="2" s="1"/>
  <c r="D203" i="2" s="1"/>
  <c r="D204" i="2" s="1"/>
  <c r="D205" i="2" s="1"/>
  <c r="D207" i="2" s="1"/>
  <c r="D208" i="2" s="1"/>
  <c r="D209" i="2" s="1"/>
  <c r="D211" i="2" s="1"/>
  <c r="D212" i="2" s="1"/>
  <c r="D213" i="2" s="1"/>
  <c r="D216" i="2" s="1"/>
  <c r="D217" i="2" s="1"/>
  <c r="D218" i="2" s="1"/>
  <c r="D219" i="2" s="1"/>
  <c r="D220" i="2" s="1"/>
  <c r="D221" i="2" s="1"/>
  <c r="D222" i="2" s="1"/>
  <c r="D223" i="2" s="1"/>
  <c r="D224" i="2" s="1"/>
  <c r="D225" i="2" s="1"/>
  <c r="D226" i="2" s="1"/>
  <c r="D228" i="2" s="1"/>
  <c r="D230" i="2" s="1"/>
  <c r="D232" i="2" s="1"/>
  <c r="D234" i="2" s="1"/>
  <c r="D235" i="2" s="1"/>
  <c r="D236" i="2" s="1"/>
  <c r="D237" i="2" s="1"/>
  <c r="D238" i="2" s="1"/>
  <c r="D239" i="2" s="1"/>
  <c r="D240" i="2" s="1"/>
  <c r="D241" i="2" s="1"/>
  <c r="D242" i="2" s="1"/>
  <c r="D243" i="2" s="1"/>
  <c r="D244" i="2" s="1"/>
  <c r="D245" i="2" s="1"/>
  <c r="D246" i="2" s="1"/>
  <c r="D248" i="2" s="1"/>
  <c r="D250" i="2" s="1"/>
  <c r="D251" i="2" s="1"/>
  <c r="D254" i="2" s="1"/>
  <c r="D255" i="2" s="1"/>
  <c r="D256" i="2" s="1"/>
  <c r="D257" i="2" s="1"/>
  <c r="D258" i="2" s="1"/>
  <c r="D259" i="2" s="1"/>
  <c r="D260" i="2" s="1"/>
  <c r="D261" i="2" s="1"/>
  <c r="D262" i="2" s="1"/>
  <c r="D263" i="2" s="1"/>
  <c r="D264" i="2" s="1"/>
  <c r="D265" i="2" s="1"/>
  <c r="D267" i="2" s="1"/>
  <c r="D268" i="2" s="1"/>
  <c r="D269" i="2" s="1"/>
  <c r="D270" i="2" s="1"/>
  <c r="D271" i="2" s="1"/>
  <c r="D273" i="2" s="1"/>
  <c r="D274" i="2" s="1"/>
  <c r="D275" i="2" s="1"/>
  <c r="D276" i="2" s="1"/>
  <c r="D277" i="2" s="1"/>
  <c r="D278" i="2" s="1"/>
  <c r="D279" i="2" s="1"/>
  <c r="D280" i="2" s="1"/>
  <c r="D281" i="2" s="1"/>
  <c r="D282" i="2" s="1"/>
  <c r="D284" i="2" s="1"/>
  <c r="D285" i="2" s="1"/>
  <c r="D287" i="2" s="1"/>
  <c r="D288" i="2" s="1"/>
  <c r="D289" i="2" s="1"/>
  <c r="D290" i="2" s="1"/>
  <c r="D291" i="2" s="1"/>
  <c r="D292" i="2" s="1"/>
  <c r="D293" i="2" s="1"/>
  <c r="D294" i="2" s="1"/>
  <c r="D295" i="2" s="1"/>
  <c r="D296" i="2" s="1"/>
  <c r="D297" i="2" s="1"/>
  <c r="D298" i="2" s="1"/>
  <c r="D299" i="2" s="1"/>
  <c r="D300" i="2" s="1"/>
  <c r="D301" i="2" s="1"/>
  <c r="D302" i="2" s="1"/>
  <c r="D303" i="2" s="1"/>
  <c r="D304" i="2" s="1"/>
  <c r="D305" i="2" s="1"/>
  <c r="D306" i="2" s="1"/>
  <c r="D307" i="2" s="1"/>
  <c r="D308" i="2" s="1"/>
  <c r="D309" i="2" s="1"/>
  <c r="D310" i="2" s="1"/>
  <c r="D311" i="2" s="1"/>
  <c r="D312" i="2" s="1"/>
  <c r="D313" i="2" s="1"/>
  <c r="D314" i="2" s="1"/>
  <c r="D315" i="2" s="1"/>
  <c r="D316" i="2" s="1"/>
  <c r="D318" i="2" s="1"/>
  <c r="D319" i="2" s="1"/>
  <c r="D320" i="2" s="1"/>
  <c r="D321" i="2" s="1"/>
  <c r="D322" i="2" s="1"/>
  <c r="D323" i="2" s="1"/>
  <c r="D324" i="2" s="1"/>
  <c r="D325" i="2" s="1"/>
  <c r="D326" i="2" s="1"/>
  <c r="D327" i="2" s="1"/>
  <c r="D328" i="2" s="1"/>
  <c r="D329" i="2" s="1"/>
  <c r="D330" i="2" s="1"/>
  <c r="D331" i="2" s="1"/>
  <c r="D332" i="2" s="1"/>
  <c r="D333" i="2" s="1"/>
  <c r="D334" i="2" s="1"/>
  <c r="D335" i="2" s="1"/>
  <c r="D336" i="2" s="1"/>
  <c r="D337" i="2" s="1"/>
  <c r="D338" i="2" s="1"/>
  <c r="D339" i="2" s="1"/>
  <c r="D340" i="2" s="1"/>
  <c r="D341" i="2" s="1"/>
  <c r="D342" i="2" s="1"/>
  <c r="D343" i="2" s="1"/>
  <c r="D344" i="2" s="1"/>
  <c r="D345" i="2" s="1"/>
  <c r="D346" i="2" s="1"/>
  <c r="D347" i="2" s="1"/>
  <c r="D348" i="2" s="1"/>
  <c r="D349" i="2" s="1"/>
  <c r="D350" i="2" s="1"/>
  <c r="D351" i="2" s="1"/>
  <c r="D352" i="2" s="1"/>
  <c r="D354" i="2" s="1"/>
  <c r="D355" i="2" s="1"/>
  <c r="D356" i="2" s="1"/>
  <c r="D357" i="2" s="1"/>
  <c r="D358" i="2" s="1"/>
  <c r="D359" i="2" s="1"/>
  <c r="D360" i="2" s="1"/>
  <c r="D361" i="2" s="1"/>
  <c r="D362" i="2" s="1"/>
  <c r="D363" i="2" s="1"/>
  <c r="D364" i="2" s="1"/>
  <c r="D365" i="2" s="1"/>
  <c r="D366" i="2" s="1"/>
  <c r="D367" i="2" s="1"/>
  <c r="D368" i="2" s="1"/>
  <c r="D369" i="2" s="1"/>
  <c r="D370" i="2" s="1"/>
  <c r="D371" i="2" s="1"/>
  <c r="D372" i="2" s="1"/>
  <c r="D373" i="2" s="1"/>
  <c r="D374" i="2" s="1"/>
  <c r="D375" i="2" s="1"/>
  <c r="D376" i="2" s="1"/>
  <c r="D377" i="2" s="1"/>
  <c r="D378" i="2" s="1"/>
  <c r="D379" i="2" s="1"/>
  <c r="D380" i="2" s="1"/>
  <c r="D381" i="2" s="1"/>
  <c r="D382" i="2" s="1"/>
  <c r="D383" i="2" s="1"/>
  <c r="D384" i="2" s="1"/>
  <c r="D386" i="2" s="1"/>
  <c r="D387" i="2" s="1"/>
  <c r="D388" i="2" s="1"/>
  <c r="D389" i="2" s="1"/>
  <c r="D390" i="2" s="1"/>
  <c r="D391" i="2" s="1"/>
  <c r="D392" i="2" s="1"/>
  <c r="D393" i="2" s="1"/>
  <c r="D394" i="2" s="1"/>
  <c r="D395" i="2" s="1"/>
  <c r="D396" i="2" s="1"/>
  <c r="D397" i="2" s="1"/>
  <c r="D398" i="2" s="1"/>
  <c r="D399" i="2" s="1"/>
  <c r="D400" i="2" s="1"/>
  <c r="D401" i="2" s="1"/>
  <c r="D402" i="2" s="1"/>
  <c r="D403" i="2" s="1"/>
  <c r="D404" i="2" s="1"/>
  <c r="D407" i="2" s="1"/>
  <c r="D408" i="2" s="1"/>
  <c r="D409" i="2" s="1"/>
  <c r="D410" i="2" s="1"/>
  <c r="D411" i="2" s="1"/>
  <c r="D412" i="2" s="1"/>
  <c r="D413" i="2" s="1"/>
  <c r="D414" i="2" s="1"/>
  <c r="D416" i="2" s="1"/>
  <c r="D417" i="2" s="1"/>
  <c r="D418" i="2" s="1"/>
  <c r="D419" i="2" s="1"/>
  <c r="D420" i="2" s="1"/>
  <c r="D421" i="2" s="1"/>
  <c r="D422" i="2" s="1"/>
  <c r="D423" i="2" s="1"/>
  <c r="D424" i="2" s="1"/>
  <c r="D425" i="2" s="1"/>
  <c r="D426" i="2" s="1"/>
  <c r="D427" i="2" s="1"/>
  <c r="D428" i="2" s="1"/>
  <c r="D429" i="2" s="1"/>
  <c r="D430" i="2" s="1"/>
  <c r="D431" i="2" s="1"/>
  <c r="D432" i="2" s="1"/>
  <c r="D433" i="2" s="1"/>
  <c r="D434" i="2" s="1"/>
  <c r="D435" i="2" s="1"/>
  <c r="D437" i="2" s="1"/>
  <c r="D438" i="2" s="1"/>
  <c r="D439" i="2" s="1"/>
  <c r="D440" i="2" s="1"/>
  <c r="D441" i="2" s="1"/>
  <c r="D442" i="2" s="1"/>
  <c r="D443" i="2" s="1"/>
  <c r="D444" i="2" s="1"/>
  <c r="D446" i="2" s="1"/>
  <c r="D447" i="2" s="1"/>
  <c r="D448" i="2" s="1"/>
  <c r="D449" i="2" s="1"/>
  <c r="D450" i="2" s="1"/>
  <c r="D451" i="2" s="1"/>
  <c r="D452" i="2" s="1"/>
  <c r="D453" i="2" s="1"/>
  <c r="D454" i="2" s="1"/>
  <c r="D455" i="2" s="1"/>
  <c r="D456" i="2" s="1"/>
  <c r="D458" i="2" s="1"/>
  <c r="D459" i="2" s="1"/>
  <c r="D460" i="2" s="1"/>
  <c r="D461" i="2" s="1"/>
  <c r="I39" i="3"/>
  <c r="J39" i="3" s="1"/>
  <c r="C33" i="4" s="1"/>
  <c r="E830" i="2"/>
  <c r="L34" i="3"/>
  <c r="E763" i="2"/>
  <c r="A416" i="2"/>
  <c r="A426" i="2" s="1"/>
  <c r="A427" i="2" s="1"/>
  <c r="A437" i="2" s="1"/>
  <c r="A442" i="2" s="1"/>
  <c r="A443" i="2" s="1"/>
  <c r="A444" i="2" s="1"/>
  <c r="A446" i="2" s="1"/>
  <c r="A448" i="2" s="1"/>
  <c r="A449" i="2" s="1"/>
  <c r="A458" i="2" s="1"/>
  <c r="A463" i="2" s="1"/>
  <c r="E785" i="2"/>
  <c r="E803" i="2"/>
  <c r="L42" i="3"/>
  <c r="G810" i="2"/>
  <c r="L17" i="3"/>
  <c r="E749" i="2"/>
  <c r="L51" i="3"/>
  <c r="L53" i="3"/>
  <c r="L15" i="3"/>
  <c r="E855" i="2"/>
  <c r="E850" i="2"/>
  <c r="G842" i="2"/>
  <c r="L29" i="3"/>
  <c r="L45" i="3"/>
  <c r="E818" i="2"/>
  <c r="L32" i="3"/>
  <c r="E799" i="2"/>
  <c r="E760" i="2"/>
  <c r="E756" i="2"/>
  <c r="G757" i="2"/>
  <c r="E840" i="2"/>
  <c r="L24" i="3"/>
  <c r="E852" i="2"/>
  <c r="G853" i="2"/>
  <c r="E835" i="2"/>
  <c r="G836" i="2"/>
  <c r="E858" i="2"/>
  <c r="G859" i="2"/>
  <c r="E786" i="2"/>
  <c r="G787" i="2"/>
  <c r="L26" i="3"/>
  <c r="J22" i="15" s="1"/>
  <c r="G22" i="15" s="1"/>
  <c r="H22" i="15" s="1"/>
  <c r="E777" i="2"/>
  <c r="G39" i="15"/>
  <c r="H39" i="15" s="1"/>
  <c r="E816" i="2"/>
  <c r="E873" i="2"/>
  <c r="G874" i="2"/>
  <c r="G866" i="2"/>
  <c r="E866" i="2" s="1"/>
  <c r="E765" i="2"/>
  <c r="L20" i="3"/>
  <c r="J16" i="15" s="1"/>
  <c r="E844" i="2"/>
  <c r="L50" i="3"/>
  <c r="E822" i="2"/>
  <c r="L46" i="3"/>
  <c r="E769" i="2"/>
  <c r="L22" i="3"/>
  <c r="G230" i="2"/>
  <c r="E229" i="2"/>
  <c r="M41" i="3"/>
  <c r="L37" i="15" s="1"/>
  <c r="L56" i="3"/>
  <c r="J52" i="15" s="1"/>
  <c r="G52" i="15" s="1"/>
  <c r="E861" i="2"/>
  <c r="E807" i="2"/>
  <c r="L36" i="3"/>
  <c r="J32" i="15" s="1"/>
  <c r="G880" i="2"/>
  <c r="E879" i="2"/>
  <c r="G847" i="2"/>
  <c r="E846" i="2"/>
  <c r="M43" i="3"/>
  <c r="L39" i="15" s="1"/>
  <c r="I43" i="3"/>
  <c r="J43" i="3" s="1"/>
  <c r="M44" i="3"/>
  <c r="E885" i="2"/>
  <c r="G886" i="2"/>
  <c r="E813" i="2"/>
  <c r="L37" i="3"/>
  <c r="J33" i="15" s="1"/>
  <c r="G796" i="2"/>
  <c r="E795" i="2"/>
  <c r="E11" i="4" l="1"/>
  <c r="E19" i="4"/>
  <c r="E15" i="4"/>
  <c r="M32" i="3"/>
  <c r="L28" i="15" s="1"/>
  <c r="K28" i="15" s="1"/>
  <c r="J28" i="15"/>
  <c r="M53" i="3"/>
  <c r="L49" i="15" s="1"/>
  <c r="K49" i="15" s="1"/>
  <c r="J49" i="15"/>
  <c r="M34" i="3"/>
  <c r="E26" i="4" s="1"/>
  <c r="J30" i="15"/>
  <c r="G30" i="15" s="1"/>
  <c r="H30" i="15" s="1"/>
  <c r="L31" i="15"/>
  <c r="K31" i="15" s="1"/>
  <c r="L14" i="15"/>
  <c r="K14" i="15" s="1"/>
  <c r="E13" i="4"/>
  <c r="M22" i="3"/>
  <c r="L18" i="15" s="1"/>
  <c r="K18" i="15" s="1"/>
  <c r="J18" i="15"/>
  <c r="G16" i="15" s="1"/>
  <c r="H16" i="15" s="1"/>
  <c r="M50" i="3"/>
  <c r="L46" i="15" s="1"/>
  <c r="K46" i="15" s="1"/>
  <c r="J46" i="15"/>
  <c r="M51" i="3"/>
  <c r="J47" i="15"/>
  <c r="G47" i="15" s="1"/>
  <c r="E27" i="4"/>
  <c r="M24" i="3"/>
  <c r="J20" i="15"/>
  <c r="G19" i="15" s="1"/>
  <c r="H19" i="15" s="1"/>
  <c r="M45" i="3"/>
  <c r="L41" i="15" s="1"/>
  <c r="K41" i="15" s="1"/>
  <c r="J41" i="15"/>
  <c r="M42" i="3"/>
  <c r="E36" i="4" s="1"/>
  <c r="J38" i="15"/>
  <c r="G37" i="15" s="1"/>
  <c r="H37" i="15" s="1"/>
  <c r="E6" i="4"/>
  <c r="L54" i="15"/>
  <c r="K54" i="15" s="1"/>
  <c r="E38" i="4"/>
  <c r="L40" i="15"/>
  <c r="K40" i="15" s="1"/>
  <c r="E20" i="4"/>
  <c r="M46" i="3"/>
  <c r="L42" i="15" s="1"/>
  <c r="K42" i="15" s="1"/>
  <c r="J42" i="15"/>
  <c r="M29" i="3"/>
  <c r="J25" i="15"/>
  <c r="M15" i="3"/>
  <c r="L11" i="15" s="1"/>
  <c r="J11" i="15"/>
  <c r="G11" i="15" s="1"/>
  <c r="H11" i="15" s="1"/>
  <c r="I17" i="3"/>
  <c r="J17" i="3" s="1"/>
  <c r="C5" i="4" s="1"/>
  <c r="J13" i="15"/>
  <c r="G13" i="15" s="1"/>
  <c r="H13" i="15" s="1"/>
  <c r="E4" i="4"/>
  <c r="L12" i="15"/>
  <c r="K12" i="15" s="1"/>
  <c r="L36" i="15"/>
  <c r="K36" i="15" s="1"/>
  <c r="E810" i="2"/>
  <c r="M17" i="3"/>
  <c r="A464" i="2"/>
  <c r="A469" i="2" s="1"/>
  <c r="A470" i="2" s="1"/>
  <c r="A471" i="2" s="1"/>
  <c r="A472" i="2" s="1"/>
  <c r="A473" i="2" s="1"/>
  <c r="A474" i="2" s="1"/>
  <c r="A478" i="2" s="1"/>
  <c r="A479" i="2" s="1"/>
  <c r="A480" i="2" s="1"/>
  <c r="I41" i="3"/>
  <c r="J41" i="3" s="1"/>
  <c r="L38" i="3"/>
  <c r="I51" i="3"/>
  <c r="J51" i="3" s="1"/>
  <c r="C8" i="6" s="1"/>
  <c r="E842" i="2"/>
  <c r="I15" i="3"/>
  <c r="J15" i="3" s="1"/>
  <c r="C3" i="4" s="1"/>
  <c r="L49" i="3"/>
  <c r="I23" i="3"/>
  <c r="J23" i="3" s="1"/>
  <c r="C13" i="4" s="1"/>
  <c r="L52" i="3"/>
  <c r="J48" i="15" s="1"/>
  <c r="E853" i="2"/>
  <c r="G758" i="2"/>
  <c r="L19" i="3"/>
  <c r="J15" i="15" s="1"/>
  <c r="E757" i="2"/>
  <c r="G867" i="2"/>
  <c r="E867" i="2" s="1"/>
  <c r="M26" i="3"/>
  <c r="L22" i="15" s="1"/>
  <c r="I26" i="3"/>
  <c r="J26" i="3" s="1"/>
  <c r="L30" i="3"/>
  <c r="J26" i="15" s="1"/>
  <c r="E787" i="2"/>
  <c r="L54" i="3"/>
  <c r="E859" i="2"/>
  <c r="M20" i="3"/>
  <c r="L16" i="15" s="1"/>
  <c r="I20" i="3"/>
  <c r="E836" i="2"/>
  <c r="L47" i="3"/>
  <c r="J43" i="15" s="1"/>
  <c r="G43" i="15" s="1"/>
  <c r="E6" i="6"/>
  <c r="E874" i="2"/>
  <c r="G875" i="2"/>
  <c r="I44" i="3"/>
  <c r="J44" i="3" s="1"/>
  <c r="D52" i="15"/>
  <c r="H52" i="15"/>
  <c r="E52" i="15" s="1"/>
  <c r="B49" i="15" s="1"/>
  <c r="C37" i="4"/>
  <c r="M56" i="3"/>
  <c r="L52" i="15" s="1"/>
  <c r="I56" i="3"/>
  <c r="E847" i="2"/>
  <c r="L55" i="3"/>
  <c r="J51" i="15" s="1"/>
  <c r="K11" i="15"/>
  <c r="K39" i="15"/>
  <c r="E37" i="4"/>
  <c r="G232" i="2"/>
  <c r="E231" i="2"/>
  <c r="M36" i="3"/>
  <c r="L32" i="15" s="1"/>
  <c r="I34" i="3"/>
  <c r="J34" i="3" s="1"/>
  <c r="K37" i="15"/>
  <c r="E35" i="4"/>
  <c r="G887" i="2"/>
  <c r="E886" i="2"/>
  <c r="M37" i="3"/>
  <c r="L33" i="15" s="1"/>
  <c r="E880" i="2"/>
  <c r="G881" i="2"/>
  <c r="G888" i="2"/>
  <c r="E230" i="2"/>
  <c r="E796" i="2"/>
  <c r="G797" i="2"/>
  <c r="G831" i="2"/>
  <c r="E24" i="4" l="1"/>
  <c r="D463" i="2"/>
  <c r="D464" i="2" s="1"/>
  <c r="D465" i="2" s="1"/>
  <c r="D466" i="2" s="1"/>
  <c r="D467" i="2" s="1"/>
  <c r="D468" i="2" s="1"/>
  <c r="D469" i="2" s="1"/>
  <c r="D470" i="2" s="1"/>
  <c r="D471" i="2" s="1"/>
  <c r="D472" i="2" s="1"/>
  <c r="D473" i="2" s="1"/>
  <c r="D474" i="2" s="1"/>
  <c r="D475" i="2" s="1"/>
  <c r="D476" i="2" s="1"/>
  <c r="D477" i="2" s="1"/>
  <c r="D478" i="2" s="1"/>
  <c r="D479" i="2" s="1"/>
  <c r="D480" i="2" s="1"/>
  <c r="D483" i="2" s="1"/>
  <c r="D484" i="2" s="1"/>
  <c r="D485" i="2" s="1"/>
  <c r="D486" i="2" s="1"/>
  <c r="D487" i="2" s="1"/>
  <c r="D488" i="2" s="1"/>
  <c r="D489" i="2" s="1"/>
  <c r="D490" i="2" s="1"/>
  <c r="D491" i="2" s="1"/>
  <c r="D492" i="2" s="1"/>
  <c r="D493" i="2" s="1"/>
  <c r="D494" i="2" s="1"/>
  <c r="D496" i="2" s="1"/>
  <c r="D498" i="2" s="1"/>
  <c r="D499" i="2" s="1"/>
  <c r="D500" i="2" s="1"/>
  <c r="D501" i="2" s="1"/>
  <c r="D502" i="2" s="1"/>
  <c r="D503" i="2" s="1"/>
  <c r="D505" i="2" s="1"/>
  <c r="D506" i="2" s="1"/>
  <c r="D507" i="2" s="1"/>
  <c r="D508" i="2" s="1"/>
  <c r="D509" i="2" s="1"/>
  <c r="D510" i="2" s="1"/>
  <c r="D511" i="2" s="1"/>
  <c r="D512" i="2" s="1"/>
  <c r="D513" i="2" s="1"/>
  <c r="D514" i="2" s="1"/>
  <c r="D515" i="2" s="1"/>
  <c r="D516" i="2" s="1"/>
  <c r="D517" i="2" s="1"/>
  <c r="D518" i="2" s="1"/>
  <c r="D519" i="2" s="1"/>
  <c r="D521" i="2" s="1"/>
  <c r="D522" i="2" s="1"/>
  <c r="D523" i="2" s="1"/>
  <c r="D524" i="2" s="1"/>
  <c r="D526" i="2" s="1"/>
  <c r="D527" i="2" s="1"/>
  <c r="D528" i="2" s="1"/>
  <c r="D529" i="2" s="1"/>
  <c r="D530" i="2" s="1"/>
  <c r="D531" i="2" s="1"/>
  <c r="D532" i="2" s="1"/>
  <c r="D533" i="2" s="1"/>
  <c r="D534" i="2" s="1"/>
  <c r="D535" i="2" s="1"/>
  <c r="D537" i="2" s="1"/>
  <c r="D538" i="2" s="1"/>
  <c r="D539" i="2" s="1"/>
  <c r="D540" i="2" s="1"/>
  <c r="D541" i="2" s="1"/>
  <c r="D542" i="2" s="1"/>
  <c r="D543" i="2" s="1"/>
  <c r="D544" i="2" s="1"/>
  <c r="D545" i="2" s="1"/>
  <c r="D546" i="2" s="1"/>
  <c r="D547" i="2" s="1"/>
  <c r="D548" i="2" s="1"/>
  <c r="D549" i="2" s="1"/>
  <c r="D550" i="2" s="1"/>
  <c r="D551" i="2" s="1"/>
  <c r="D552" i="2" s="1"/>
  <c r="D553" i="2" s="1"/>
  <c r="D554" i="2" s="1"/>
  <c r="G23" i="15"/>
  <c r="H23" i="15" s="1"/>
  <c r="G40" i="15"/>
  <c r="D35" i="15" s="1"/>
  <c r="E35" i="15" s="1"/>
  <c r="B16" i="15" s="1"/>
  <c r="E39" i="4"/>
  <c r="G48" i="15"/>
  <c r="D48" i="15" s="1"/>
  <c r="E8" i="6"/>
  <c r="L47" i="15"/>
  <c r="E12" i="4"/>
  <c r="E40" i="4"/>
  <c r="M54" i="3"/>
  <c r="L50" i="15" s="1"/>
  <c r="K50" i="15" s="1"/>
  <c r="J50" i="15"/>
  <c r="G50" i="15" s="1"/>
  <c r="H50" i="15" s="1"/>
  <c r="E50" i="15" s="1"/>
  <c r="B48" i="15" s="1"/>
  <c r="I48" i="3"/>
  <c r="F48" i="3" s="1"/>
  <c r="J45" i="15"/>
  <c r="G44" i="15" s="1"/>
  <c r="H44" i="15" s="1"/>
  <c r="E44" i="15" s="1"/>
  <c r="B45" i="15" s="1"/>
  <c r="E5" i="4"/>
  <c r="L13" i="15"/>
  <c r="K13" i="15" s="1"/>
  <c r="L38" i="15"/>
  <c r="K38" i="15" s="1"/>
  <c r="E14" i="4"/>
  <c r="L20" i="15"/>
  <c r="K20" i="15" s="1"/>
  <c r="E11" i="6"/>
  <c r="E3" i="4"/>
  <c r="M38" i="3"/>
  <c r="J34" i="15"/>
  <c r="G33" i="15" s="1"/>
  <c r="H33" i="15" s="1"/>
  <c r="E21" i="4"/>
  <c r="L25" i="15"/>
  <c r="K25" i="15" s="1"/>
  <c r="D47" i="15"/>
  <c r="H47" i="15"/>
  <c r="E47" i="15" s="1"/>
  <c r="B46" i="15" s="1"/>
  <c r="L30" i="15"/>
  <c r="K30" i="15" s="1"/>
  <c r="F51" i="3"/>
  <c r="G51" i="3" s="1"/>
  <c r="G868" i="2"/>
  <c r="E868" i="2" s="1"/>
  <c r="E10" i="3" s="1"/>
  <c r="I37" i="3"/>
  <c r="J37" i="3" s="1"/>
  <c r="C29" i="4" s="1"/>
  <c r="X3" i="4"/>
  <c r="M49" i="3"/>
  <c r="D44" i="15"/>
  <c r="E758" i="2"/>
  <c r="G15" i="15"/>
  <c r="I19" i="3"/>
  <c r="M19" i="3"/>
  <c r="L15" i="15" s="1"/>
  <c r="M52" i="3"/>
  <c r="L48" i="15" s="1"/>
  <c r="I52" i="3"/>
  <c r="F39" i="3"/>
  <c r="G39" i="3" s="1"/>
  <c r="C32" i="4" s="1"/>
  <c r="D16" i="15"/>
  <c r="E16" i="15" s="1"/>
  <c r="B14" i="15" s="1"/>
  <c r="J20" i="3"/>
  <c r="F20" i="3"/>
  <c r="G20" i="3" s="1"/>
  <c r="M30" i="3"/>
  <c r="L26" i="15" s="1"/>
  <c r="I27" i="3"/>
  <c r="J27" i="3" s="1"/>
  <c r="M47" i="3"/>
  <c r="L43" i="15" s="1"/>
  <c r="I47" i="3"/>
  <c r="K16" i="15"/>
  <c r="E10" i="4"/>
  <c r="C38" i="4"/>
  <c r="C16" i="4"/>
  <c r="E875" i="2"/>
  <c r="L59" i="3"/>
  <c r="J55" i="15" s="1"/>
  <c r="G55" i="15" s="1"/>
  <c r="H43" i="15"/>
  <c r="E43" i="15" s="1"/>
  <c r="B44" i="15" s="1"/>
  <c r="D43" i="15"/>
  <c r="E16" i="4"/>
  <c r="K22" i="15"/>
  <c r="L61" i="3"/>
  <c r="J57" i="15" s="1"/>
  <c r="G57" i="15" s="1"/>
  <c r="H57" i="15" s="1"/>
  <c r="B54" i="15" s="1"/>
  <c r="E887" i="2"/>
  <c r="C35" i="4"/>
  <c r="K33" i="15"/>
  <c r="E29" i="4"/>
  <c r="K32" i="15"/>
  <c r="E28" i="4"/>
  <c r="G889" i="2"/>
  <c r="E888" i="2"/>
  <c r="E232" i="2"/>
  <c r="M55" i="3"/>
  <c r="I54" i="3"/>
  <c r="F56" i="3"/>
  <c r="G56" i="3" s="1"/>
  <c r="J56" i="3"/>
  <c r="C16" i="6" s="1"/>
  <c r="E881" i="2"/>
  <c r="L60" i="3"/>
  <c r="J56" i="15" s="1"/>
  <c r="G56" i="15" s="1"/>
  <c r="C26" i="4"/>
  <c r="E16" i="6"/>
  <c r="K52" i="15"/>
  <c r="E831" i="2"/>
  <c r="G832" i="2"/>
  <c r="E797" i="2"/>
  <c r="L33" i="3"/>
  <c r="J29" i="15" s="1"/>
  <c r="G27" i="15" s="1"/>
  <c r="D555" i="2" l="1"/>
  <c r="D556" i="2" s="1"/>
  <c r="D557" i="2" s="1"/>
  <c r="D558" i="2" s="1"/>
  <c r="D559" i="2" s="1"/>
  <c r="D560" i="2" s="1"/>
  <c r="D561" i="2" s="1"/>
  <c r="D562" i="2" s="1"/>
  <c r="D563" i="2" s="1"/>
  <c r="D564" i="2" s="1"/>
  <c r="D565" i="2" s="1"/>
  <c r="D566" i="2" s="1"/>
  <c r="D567" i="2" s="1"/>
  <c r="D568" i="2" s="1"/>
  <c r="D569" i="2" s="1"/>
  <c r="D570" i="2" s="1"/>
  <c r="D571" i="2" s="1"/>
  <c r="D572" i="2" s="1"/>
  <c r="D573" i="2" s="1"/>
  <c r="D574" i="2" s="1"/>
  <c r="D575" i="2" s="1"/>
  <c r="D576" i="2" s="1"/>
  <c r="D577" i="2" s="1"/>
  <c r="D578" i="2" s="1"/>
  <c r="D579" i="2" s="1"/>
  <c r="D580" i="2" s="1"/>
  <c r="D581" i="2" s="1"/>
  <c r="D582" i="2" s="1"/>
  <c r="D583" i="2" s="1"/>
  <c r="D584" i="2" s="1"/>
  <c r="D585" i="2" s="1"/>
  <c r="D586" i="2" s="1"/>
  <c r="D587" i="2" s="1"/>
  <c r="D589" i="2" s="1"/>
  <c r="D590" i="2" s="1"/>
  <c r="D591" i="2" s="1"/>
  <c r="D592" i="2" s="1"/>
  <c r="D593" i="2" s="1"/>
  <c r="D594" i="2" s="1"/>
  <c r="D595" i="2" s="1"/>
  <c r="D596" i="2" s="1"/>
  <c r="D597" i="2" s="1"/>
  <c r="D598" i="2" s="1"/>
  <c r="D599" i="2" s="1"/>
  <c r="D600" i="2" s="1"/>
  <c r="D601" i="2" s="1"/>
  <c r="D602" i="2" s="1"/>
  <c r="D603" i="2" s="1"/>
  <c r="D604" i="2" s="1"/>
  <c r="D605" i="2" s="1"/>
  <c r="D608" i="2" s="1"/>
  <c r="D609" i="2" s="1"/>
  <c r="D610" i="2" s="1"/>
  <c r="D611" i="2" s="1"/>
  <c r="D612" i="2" s="1"/>
  <c r="D613" i="2" s="1"/>
  <c r="D614" i="2" s="1"/>
  <c r="D615" i="2" s="1"/>
  <c r="D617" i="2" s="1"/>
  <c r="D618" i="2" s="1"/>
  <c r="D619" i="2" s="1"/>
  <c r="D620" i="2" s="1"/>
  <c r="D621" i="2" s="1"/>
  <c r="D622" i="2" s="1"/>
  <c r="D623" i="2" s="1"/>
  <c r="D624" i="2" s="1"/>
  <c r="D625" i="2" s="1"/>
  <c r="D626" i="2" s="1"/>
  <c r="D627" i="2" s="1"/>
  <c r="D628" i="2" s="1"/>
  <c r="D629" i="2" s="1"/>
  <c r="D630" i="2" s="1"/>
  <c r="D631" i="2" s="1"/>
  <c r="D633" i="2" s="1"/>
  <c r="D634" i="2" s="1"/>
  <c r="D635" i="2" s="1"/>
  <c r="D636" i="2" s="1"/>
  <c r="D637" i="2" s="1"/>
  <c r="D638" i="2" s="1"/>
  <c r="D639" i="2" s="1"/>
  <c r="D641" i="2" s="1"/>
  <c r="D642" i="2" s="1"/>
  <c r="D643" i="2" s="1"/>
  <c r="D644" i="2" s="1"/>
  <c r="D645" i="2" s="1"/>
  <c r="D646" i="2" s="1"/>
  <c r="D647" i="2" s="1"/>
  <c r="D648" i="2" s="1"/>
  <c r="D649" i="2" s="1"/>
  <c r="D650" i="2" s="1"/>
  <c r="D651" i="2" s="1"/>
  <c r="D652" i="2" s="1"/>
  <c r="D653" i="2" s="1"/>
  <c r="D654" i="2" s="1"/>
  <c r="D656" i="2" s="1"/>
  <c r="D657" i="2" s="1"/>
  <c r="D658" i="2" s="1"/>
  <c r="D659" i="2" s="1"/>
  <c r="D660" i="2" s="1"/>
  <c r="D661" i="2" s="1"/>
  <c r="D662" i="2" s="1"/>
  <c r="D663" i="2" s="1"/>
  <c r="D664" i="2" s="1"/>
  <c r="D666" i="2" s="1"/>
  <c r="D667" i="2" s="1"/>
  <c r="D668" i="2" s="1"/>
  <c r="D669" i="2" s="1"/>
  <c r="D672" i="2" s="1"/>
  <c r="D673" i="2" s="1"/>
  <c r="D674" i="2" s="1"/>
  <c r="D675" i="2" s="1"/>
  <c r="D676" i="2" s="1"/>
  <c r="D677" i="2" s="1"/>
  <c r="D678" i="2" s="1"/>
  <c r="D679" i="2" s="1"/>
  <c r="D680" i="2" s="1"/>
  <c r="D681" i="2" s="1"/>
  <c r="D682" i="2" s="1"/>
  <c r="D683" i="2" s="1"/>
  <c r="D685" i="2" s="1"/>
  <c r="D686" i="2" s="1"/>
  <c r="D687" i="2" s="1"/>
  <c r="D688" i="2" s="1"/>
  <c r="D689" i="2" s="1"/>
  <c r="D690" i="2" s="1"/>
  <c r="D691" i="2" s="1"/>
  <c r="D692" i="2" s="1"/>
  <c r="D693" i="2" s="1"/>
  <c r="D694" i="2" s="1"/>
  <c r="D695" i="2" s="1"/>
  <c r="D696" i="2" s="1"/>
  <c r="D697" i="2" s="1"/>
  <c r="D698" i="2" s="1"/>
  <c r="D699" i="2" s="1"/>
  <c r="D700" i="2" s="1"/>
  <c r="D701" i="2" s="1"/>
  <c r="D702" i="2" s="1"/>
  <c r="D704" i="2" s="1"/>
  <c r="D705" i="2" s="1"/>
  <c r="D706" i="2" s="1"/>
  <c r="D707" i="2" s="1"/>
  <c r="D708" i="2" s="1"/>
  <c r="D709" i="2" s="1"/>
  <c r="D710" i="2" s="1"/>
  <c r="D711" i="2" s="1"/>
  <c r="D712" i="2" s="1"/>
  <c r="D713" i="2" s="1"/>
  <c r="D715" i="2" s="1"/>
  <c r="D716" i="2" s="1"/>
  <c r="D717" i="2" s="1"/>
  <c r="D718" i="2" s="1"/>
  <c r="D719" i="2" s="1"/>
  <c r="D720" i="2" s="1"/>
  <c r="D721" i="2" s="1"/>
  <c r="D722" i="2" s="1"/>
  <c r="D723" i="2" s="1"/>
  <c r="D724" i="2" s="1"/>
  <c r="D725" i="2" s="1"/>
  <c r="D726" i="2" s="1"/>
  <c r="D727" i="2" s="1"/>
  <c r="D728" i="2" s="1"/>
  <c r="D729" i="2" s="1"/>
  <c r="D730" i="2" s="1"/>
  <c r="D732" i="2" s="1"/>
  <c r="D733" i="2" s="1"/>
  <c r="D734" i="2" s="1"/>
  <c r="D735" i="2" s="1"/>
  <c r="D736" i="2" s="1"/>
  <c r="D737" i="2" s="1"/>
  <c r="D738" i="2" s="1"/>
  <c r="D739" i="2" s="1"/>
  <c r="D741" i="2" s="1"/>
  <c r="D742" i="2" s="1"/>
  <c r="D743" i="2" s="1"/>
  <c r="D744" i="2" s="1"/>
  <c r="D745" i="2" s="1"/>
  <c r="D746" i="2" s="1"/>
  <c r="D749" i="2" s="1"/>
  <c r="D751" i="2" s="1"/>
  <c r="H48" i="15"/>
  <c r="E48" i="15" s="1"/>
  <c r="B47" i="15" s="1"/>
  <c r="H40" i="15"/>
  <c r="K47" i="15"/>
  <c r="E13" i="6"/>
  <c r="J48" i="3"/>
  <c r="C4" i="6" s="1"/>
  <c r="E14" i="6"/>
  <c r="L51" i="15"/>
  <c r="K51" i="15" s="1"/>
  <c r="E30" i="4"/>
  <c r="L34" i="15"/>
  <c r="K34" i="15" s="1"/>
  <c r="E5" i="6"/>
  <c r="L45" i="15"/>
  <c r="K45" i="15" s="1"/>
  <c r="F52" i="3"/>
  <c r="G52" i="3" s="1"/>
  <c r="J52" i="3"/>
  <c r="C10" i="6" s="1"/>
  <c r="H15" i="15"/>
  <c r="D11" i="15"/>
  <c r="E11" i="15" s="1"/>
  <c r="B13" i="15" s="1"/>
  <c r="E10" i="6"/>
  <c r="K48" i="15"/>
  <c r="E7" i="4"/>
  <c r="K15" i="15"/>
  <c r="J19" i="3"/>
  <c r="F15" i="3"/>
  <c r="G15" i="3" s="1"/>
  <c r="I59" i="3"/>
  <c r="M59" i="3"/>
  <c r="L55" i="15" s="1"/>
  <c r="K26" i="15"/>
  <c r="E22" i="4"/>
  <c r="C19" i="4"/>
  <c r="D50" i="15"/>
  <c r="B50" i="15" s="1"/>
  <c r="H55" i="15"/>
  <c r="D55" i="15"/>
  <c r="J47" i="3"/>
  <c r="F47" i="3"/>
  <c r="G47" i="3" s="1"/>
  <c r="C9" i="4"/>
  <c r="K43" i="15"/>
  <c r="E2" i="6"/>
  <c r="C10" i="4"/>
  <c r="E889" i="2"/>
  <c r="G890" i="2"/>
  <c r="G48" i="3"/>
  <c r="D56" i="15"/>
  <c r="H56" i="15"/>
  <c r="B53" i="15" s="1"/>
  <c r="F54" i="3"/>
  <c r="G54" i="3" s="1"/>
  <c r="J54" i="3"/>
  <c r="I60" i="3"/>
  <c r="M60" i="3"/>
  <c r="L56" i="15" s="1"/>
  <c r="I61" i="3"/>
  <c r="J61" i="3" s="1"/>
  <c r="C5" i="7" s="1"/>
  <c r="M61" i="3"/>
  <c r="L57" i="15" s="1"/>
  <c r="H27" i="15"/>
  <c r="D23" i="15"/>
  <c r="M33" i="3"/>
  <c r="L29" i="15" s="1"/>
  <c r="I31" i="3"/>
  <c r="E832" i="2"/>
  <c r="G833" i="2"/>
  <c r="G892" i="2"/>
  <c r="C1" i="4" l="1"/>
  <c r="C7" i="4"/>
  <c r="B52" i="15"/>
  <c r="E55" i="15"/>
  <c r="C2" i="6"/>
  <c r="K55" i="15"/>
  <c r="E2" i="7"/>
  <c r="F59" i="3"/>
  <c r="G59" i="3" s="1"/>
  <c r="C1" i="7" s="1"/>
  <c r="J59" i="3"/>
  <c r="C2" i="7" s="1"/>
  <c r="C47" i="3"/>
  <c r="D47" i="3" s="1"/>
  <c r="B3" i="9" s="1"/>
  <c r="K56" i="15"/>
  <c r="E4" i="7"/>
  <c r="E5" i="7"/>
  <c r="K57" i="15"/>
  <c r="C13" i="6"/>
  <c r="E890" i="2"/>
  <c r="E11" i="3" s="1"/>
  <c r="F60" i="3"/>
  <c r="J60" i="3"/>
  <c r="C4" i="7" s="1"/>
  <c r="E56" i="15"/>
  <c r="B56" i="15"/>
  <c r="G894" i="2"/>
  <c r="C7" i="15" s="1"/>
  <c r="E892" i="2"/>
  <c r="G893" i="2"/>
  <c r="C8" i="15" s="1"/>
  <c r="E25" i="4"/>
  <c r="K29" i="15"/>
  <c r="E833" i="2"/>
  <c r="E9" i="3" s="1"/>
  <c r="E23" i="15"/>
  <c r="B15" i="15" s="1"/>
  <c r="B12" i="15"/>
  <c r="J31" i="3"/>
  <c r="C23" i="4" s="1"/>
  <c r="F27" i="3"/>
  <c r="G60" i="3" l="1"/>
  <c r="C59" i="3"/>
  <c r="D59" i="3" s="1"/>
  <c r="B4" i="9" s="1"/>
  <c r="G27" i="3"/>
  <c r="C15" i="3"/>
  <c r="D15" i="3" s="1"/>
  <c r="B2" i="9" s="1"/>
  <c r="E893" i="2"/>
  <c r="E8" i="3" s="1"/>
  <c r="G895" i="2"/>
  <c r="E894" i="2"/>
  <c r="C3" i="7" l="1"/>
  <c r="E895" i="2"/>
  <c r="E7" i="3" s="1"/>
  <c r="C18" i="4"/>
  <c r="D753" i="2" l="1"/>
  <c r="D755" i="2" s="1"/>
  <c r="D758" i="2" s="1"/>
  <c r="D760" i="2" s="1"/>
  <c r="D763" i="2" s="1"/>
  <c r="D765" i="2" s="1"/>
  <c r="D767" i="2" s="1"/>
  <c r="D769" i="2" s="1"/>
  <c r="D771" i="2" s="1"/>
  <c r="D773" i="2" s="1"/>
  <c r="D775" i="2" s="1"/>
  <c r="D777" i="2" s="1"/>
  <c r="D779" i="2" s="1"/>
  <c r="D781" i="2" s="1"/>
  <c r="D783" i="2" s="1"/>
  <c r="D785" i="2" s="1"/>
  <c r="D787" i="2" s="1"/>
  <c r="D797" i="2" s="1"/>
  <c r="D799" i="2" s="1"/>
  <c r="D801" i="2" s="1"/>
  <c r="D803" i="2" s="1"/>
  <c r="D805" i="2" s="1"/>
  <c r="D807" i="2" s="1"/>
  <c r="D810" i="2" s="1"/>
  <c r="D813" i="2" s="1"/>
  <c r="D816" i="2" s="1"/>
  <c r="D818" i="2" s="1"/>
  <c r="D820" i="2" s="1"/>
  <c r="D822" i="2" s="1"/>
  <c r="D824" i="2" s="1"/>
  <c r="D826" i="2" s="1"/>
  <c r="D828" i="2" s="1"/>
  <c r="D830" i="2" s="1"/>
  <c r="D833" i="2" s="1"/>
  <c r="D836" i="2" s="1"/>
  <c r="D838" i="2" s="1"/>
  <c r="D842" i="2" s="1"/>
  <c r="D844" i="2" s="1"/>
  <c r="D847" i="2" s="1"/>
  <c r="D850" i="2" s="1"/>
  <c r="D853" i="2" s="1"/>
  <c r="D856" i="2" s="1"/>
  <c r="D859" i="2" s="1"/>
  <c r="D861" i="2" s="1"/>
  <c r="D863" i="2" s="1"/>
  <c r="D865" i="2" s="1"/>
  <c r="D868" i="2" s="1"/>
  <c r="D875" i="2" s="1"/>
  <c r="D881" i="2" s="1"/>
  <c r="D887" i="2" s="1"/>
  <c r="D890" i="2" s="1"/>
  <c r="D893" i="2" s="1"/>
  <c r="D895" i="2" s="1"/>
</calcChain>
</file>

<file path=xl/sharedStrings.xml><?xml version="1.0" encoding="utf-8"?>
<sst xmlns="http://schemas.openxmlformats.org/spreadsheetml/2006/main" count="2577" uniqueCount="1746">
  <si>
    <t>IP1</t>
  </si>
  <si>
    <t>IP2</t>
  </si>
  <si>
    <t>IP3</t>
  </si>
  <si>
    <t>Nama Petugas</t>
  </si>
  <si>
    <t>Tanggal Isi Kuesioner</t>
  </si>
  <si>
    <t>Telp/HP Petugas</t>
  </si>
  <si>
    <t>Nama Informan</t>
  </si>
  <si>
    <t xml:space="preserve">Jabatan </t>
  </si>
  <si>
    <t>Tanggal Lahir Informan</t>
  </si>
  <si>
    <t>Jenis Kelamin Informan</t>
  </si>
  <si>
    <t>Kode Provinsi</t>
  </si>
  <si>
    <t>Nama Provinsi</t>
  </si>
  <si>
    <t>Kode Kabupaten</t>
  </si>
  <si>
    <t>Nama Kabupaten</t>
  </si>
  <si>
    <t>Kode Kecamatan</t>
  </si>
  <si>
    <t>Nama Kecamatan</t>
  </si>
  <si>
    <t>Kode Desa</t>
  </si>
  <si>
    <t>Nama Desa</t>
  </si>
  <si>
    <t>Titik Koordinat Desa</t>
  </si>
  <si>
    <t>No. Telepon Kantor Desa</t>
  </si>
  <si>
    <t>e. Kepala seksi pemerintahan</t>
  </si>
  <si>
    <t>f. Kepala seksi kesejahteraan</t>
  </si>
  <si>
    <t>g. Kepala seksi pelayanan</t>
  </si>
  <si>
    <t>h. Staf petugas Desa</t>
  </si>
  <si>
    <t>i. BPD dan Anggota</t>
  </si>
  <si>
    <t>j. LPM dan Anggota</t>
  </si>
  <si>
    <t>k. TP. PKK Desa</t>
  </si>
  <si>
    <t>l. Kepala Dusun</t>
  </si>
  <si>
    <t>n. Ketua RT</t>
  </si>
  <si>
    <t>Total Luas Wilayah Desa</t>
  </si>
  <si>
    <t>Hutan Desa</t>
  </si>
  <si>
    <t>Jenis Wilayah Desa</t>
  </si>
  <si>
    <t>Jumlah Total Penduduk</t>
  </si>
  <si>
    <t>Jumlah Penduduk Laki-laki</t>
  </si>
  <si>
    <t>Jumlah Penduduk Perempuan</t>
  </si>
  <si>
    <t>Jumlah Total Kepala Keluarga</t>
  </si>
  <si>
    <t>Jumlah Total Kepala Keluarga Perempuan</t>
  </si>
  <si>
    <t>Jumlah Keluarga Miskin</t>
  </si>
  <si>
    <t>a. &lt;1 tahun</t>
  </si>
  <si>
    <t>b. 1-4 tahun</t>
  </si>
  <si>
    <t>c. 5-14 tahun</t>
  </si>
  <si>
    <t>d. 15-39 tahun</t>
  </si>
  <si>
    <t>e. 40-64 tahun</t>
  </si>
  <si>
    <t>f. 65 tahun ke atas</t>
  </si>
  <si>
    <t>a. Petani</t>
  </si>
  <si>
    <t>b. Nelayan</t>
  </si>
  <si>
    <t>e. PNS</t>
  </si>
  <si>
    <t>g. Wiraswasta / pedagang</t>
  </si>
  <si>
    <t>a. Sarana kesehatan terdekat</t>
  </si>
  <si>
    <t>b. Jarak ke sarana kesehatan terdekat</t>
  </si>
  <si>
    <t>c. Waktu tempuh untuk menuju ke sarana kesehatan terdekat</t>
  </si>
  <si>
    <t>a. Ketersediaan tenaga kesehatan bidan Desa (BDD)</t>
  </si>
  <si>
    <t>b. Jumlah bidan Desa (BDD) di Desa</t>
  </si>
  <si>
    <t>a. Ketersediaan tenaga kesehatan dokter</t>
  </si>
  <si>
    <t>b. Jumlah dokter di Desa</t>
  </si>
  <si>
    <t>a. Ketersediaan tenaga kesehatan lainnya selain dokter dan bidan di Desa</t>
  </si>
  <si>
    <t>b. Jumlah tenaga kesehatan lainnya selain dokter dan bidan</t>
  </si>
  <si>
    <t>a. Ketersediaan sarana Poskesdes/ Polindes</t>
  </si>
  <si>
    <t>b. Jarak ke Poskesdes/Polindes terdekat</t>
  </si>
  <si>
    <t xml:space="preserve">c. Waktu tempuh untuk menuju ke Poskesdes/ Polindes terdekat </t>
  </si>
  <si>
    <t>d. Fungsi Poskesdes/ Polindes</t>
  </si>
  <si>
    <t>e.Ketersediaan rumah singgah / rumah tunggu untuk ibu hamil</t>
  </si>
  <si>
    <t>a. Jumlah Posyandu di Desa</t>
  </si>
  <si>
    <t>b. Jumlah posyandu yang melaksanakan kegiatan / pelayanan sebulan sekali</t>
  </si>
  <si>
    <t>c. Jumlah posyandu yang melaksanakan kegiatan / pelayanan 2 bulan sekali atau lebih</t>
  </si>
  <si>
    <t>d. Mayoritas warga Desa berpartisipasi aktif dalam kegiatan Posyandu</t>
  </si>
  <si>
    <t>c. Jumlah warga yang terdaftar menjadi peserta Jamkesda</t>
  </si>
  <si>
    <t>a. Terdapat kejadian kematian ibu melahirkan di Desa</t>
  </si>
  <si>
    <t>b. Jumlah kejadian kematian ibu melahirkan di Desa</t>
  </si>
  <si>
    <t>a. Terdapat kejadian kematian balita di Desa</t>
  </si>
  <si>
    <t>b. Jumlah kejadian kematian balita di Desa</t>
  </si>
  <si>
    <t>a. Terdapat kejadian balita gizi buruk di Desa</t>
  </si>
  <si>
    <t>b. Jumlah kejadian balita gizi buruk di Desa</t>
  </si>
  <si>
    <t>a. Terdapat kejadian luar biasa di Desa</t>
  </si>
  <si>
    <t>b. Penyakit yang menyebabkan kejadian luar biasa</t>
  </si>
  <si>
    <t>a. Jumlah SD /MI di Desa</t>
  </si>
  <si>
    <t>b. Jumlah tenaga pengajar di SD / MI</t>
  </si>
  <si>
    <t>c. Jarak ke SD / MI terdekat</t>
  </si>
  <si>
    <t>a. Jumlah SMP / MTs di Desa</t>
  </si>
  <si>
    <t>b. Jumlah tenaga pengajar di SMP/MTs</t>
  </si>
  <si>
    <t>c. Jarak ke SMP / MTs terdekat</t>
  </si>
  <si>
    <t>a. Jumlah SMU / MA/ SMK di Desa</t>
  </si>
  <si>
    <t>b. Jumlah tenaga pengajar di SMU / MA/ SMK</t>
  </si>
  <si>
    <t>c. Jarak ke SMU / MA / SMK  terdekat</t>
  </si>
  <si>
    <t>Tingkat pendidikan sebagian besar penduduk Desa</t>
  </si>
  <si>
    <t>a. Terdapat anak usia SD yang putus atau tidak sekolah di Desa</t>
  </si>
  <si>
    <t>b. Jumlah anak usia SD yang putus atau tidak sekolah di Desa</t>
  </si>
  <si>
    <t>a. Terdapat anak usia SMP yang putus atau tidak sekolah di Desa</t>
  </si>
  <si>
    <t>b. Jumlah anak usia SMP yang putus atau tidak sekolah</t>
  </si>
  <si>
    <t>a. Ketersediaan Pos PAUD di Desa</t>
  </si>
  <si>
    <t>Ketersediaan Pusat Kegiatan Belajar Masyarakat Kejar Paket A, B, dan C di Desa</t>
  </si>
  <si>
    <t>a. Jumlah pusat kursus atau pusat pelatihan keterampilan khusus di Desa</t>
  </si>
  <si>
    <t>b. Jarak tempuh menuju pusat kursus atau pusat pelatihan keterampilan khusus ke terdekat</t>
  </si>
  <si>
    <t>a.  Ketersediaan fasilitas perpustakaan Desa / taman bacaan masyarakat di Desa</t>
  </si>
  <si>
    <t>b.  Pemanfaatan fasilitas perpustakaan Desa / taman bacaan masyarakat</t>
  </si>
  <si>
    <t>a. Kebiasaan gotong royong warga di Desa</t>
  </si>
  <si>
    <t>b. Frekuensi kegiatan gotong royong</t>
  </si>
  <si>
    <t>a. Karang Taruna</t>
  </si>
  <si>
    <t>b. PKK</t>
  </si>
  <si>
    <t>c. Perkumpulan agama</t>
  </si>
  <si>
    <t>d. Panti asuhan</t>
  </si>
  <si>
    <t>e. Kelompok arisan</t>
  </si>
  <si>
    <t>f. Kelompok/ organisasi/lembaga tani</t>
  </si>
  <si>
    <t>g. Kelompok/ organisasi/lembaga nelayan</t>
  </si>
  <si>
    <t>h. Kelompok/ organisasi/lembaga usaha ternak</t>
  </si>
  <si>
    <t>i. Kelompok/ organisasi/lembaga pengrajin</t>
  </si>
  <si>
    <t>j. Kelompok/ organisasi/lembaga khusus wanita</t>
  </si>
  <si>
    <t>k. Kelompok/ organisasi/lembaga lainnya</t>
  </si>
  <si>
    <t>a. Warga Desa mengikuti musyawarah Desa</t>
  </si>
  <si>
    <t>b. Frekuensi musyawarah Desa selama setahun terakhir</t>
  </si>
  <si>
    <t>c. Kelompok perempuan mengikuti musyawarah Desa</t>
  </si>
  <si>
    <t>b. Terdapat kegiatan kelompok olahraga yang rutin</t>
  </si>
  <si>
    <t>Warga Desa terdiri dari beberapa suku / etnis</t>
  </si>
  <si>
    <t>a. Warga yang menganut agama Islam</t>
  </si>
  <si>
    <t>b. Warga yang menganut agama Kristen</t>
  </si>
  <si>
    <t>c. Warga yang menganut agama Katolik</t>
  </si>
  <si>
    <t>d. Warga yang menganut agama Buddha</t>
  </si>
  <si>
    <t>e. Warga yang menganut agama Hindu</t>
  </si>
  <si>
    <t>g. Warga yang menganut agama lain</t>
  </si>
  <si>
    <t>Agama  / kepercayaan mayoritas yang dianut warga Desa</t>
  </si>
  <si>
    <t>a. Terdapat kelompok seni adat dan budaya di Desa</t>
  </si>
  <si>
    <t>b. Frekuensi kegiatan seni adat dan budaya diselenggarakan dalam setahun terakhir</t>
  </si>
  <si>
    <t>c. Jumlah kelompok seni adat dan budaya di Desa</t>
  </si>
  <si>
    <t>a. Mayoritas warga di Desa menghadiri perayaan adat budaya tertentu untuk acara kelahiran</t>
  </si>
  <si>
    <t>b. Mayoritas warga di Desa menghadiri perayaan adat budaya tertentu untuk acara kematian</t>
  </si>
  <si>
    <t>c. Mayoritas warga di Desa menghadiri perayaan adat budaya tertentu untuk acara perkawinan</t>
  </si>
  <si>
    <t>d. Mayoritas warga di Desa menghadiri perayaan adat budaya tertentu untuk acara / hari besar lainnya</t>
  </si>
  <si>
    <t>a. Terdapat konflik di Desa</t>
  </si>
  <si>
    <t>a. Penyelesaian Konflik secara damai</t>
  </si>
  <si>
    <t>Penyelesaian konflik di Desa oleh lembaga lokal sesuai adat budaya tertentu di Desa</t>
  </si>
  <si>
    <t>a1. Terdapat tindak kejahatan pencurian</t>
  </si>
  <si>
    <t>a2. Terdapat tindak kejahatan penipuan/ penggelapan</t>
  </si>
  <si>
    <t>a3. Terdapat tindak kejahatan penganiayaan</t>
  </si>
  <si>
    <t>a4. Terdapat tindak kejahatan pembakaran</t>
  </si>
  <si>
    <t>a5. Terdapat tindak kejahatan perkosaan</t>
  </si>
  <si>
    <t>a7. Terdapat tindak kejahatan perjudian</t>
  </si>
  <si>
    <t>a8. Terdapat tindak kejahatan pembunuhan</t>
  </si>
  <si>
    <t>a9. Terdapat tindak kejahatan perdagangan orang</t>
  </si>
  <si>
    <t>b. Tindak kejahatan yang paling sering terjadi</t>
  </si>
  <si>
    <t>a. Ketersediaan SLB di Desa</t>
  </si>
  <si>
    <t>b. Jumlah SLB yang terdapat di Desa</t>
  </si>
  <si>
    <t>c. Jarak menuju SLB terdekat</t>
  </si>
  <si>
    <t>Jumlah kejadian bunuh diri di Desa</t>
  </si>
  <si>
    <t>a. Air minum warga di Desa bersumber dari air kemasan</t>
  </si>
  <si>
    <t>b. Air minum warga di Desa bersumber dari air ledeng dengan meteran (PAM/PDAM)</t>
  </si>
  <si>
    <t>c. Air minum warga di Desa bersumber dari air ledeng tanpa meteran</t>
  </si>
  <si>
    <t>d. Air minum warga di Desa bersumber dari sumur bor / pompa</t>
  </si>
  <si>
    <t>e. Air minum warga di Desa bersumber dari sumur</t>
  </si>
  <si>
    <t>f. Air minum warga di Desa bersumber dari mata air</t>
  </si>
  <si>
    <t>g. Air minum warga di Desa bersumber dari sungai / danau / kolam</t>
  </si>
  <si>
    <t>h. Air minum warga di Desa bersumber dari air hujan</t>
  </si>
  <si>
    <t>i. Air minum warga di Desa bersumber dari lainnya</t>
  </si>
  <si>
    <t>Cara warga Desa memperoleh air minum</t>
  </si>
  <si>
    <t>a. Air untuk mandi / cuci warga di Desa bersumber dari air ledeng dengan meteran (PAM/PDAM)</t>
  </si>
  <si>
    <t>b. Air untuk mandi / cuci warga di Desa bersumber dari air ledeng tanpa meteran</t>
  </si>
  <si>
    <t>c. Air untuk mandi / cuci warga di Desa bersumber dari sumur bor / pompa</t>
  </si>
  <si>
    <t>d. Air untuk mandi / cuci warga di Desa bersumber dari sumur</t>
  </si>
  <si>
    <t>e. Air untuk mandi / cuci warga di Desa bersumber dari mata air</t>
  </si>
  <si>
    <t>f. Air untuk mandi / cuci warga di Desa bersumber dari sungai / danau / kolam</t>
  </si>
  <si>
    <t>g. Air untuk mandi / cuci warga di Desa bersumber dari air hujan</t>
  </si>
  <si>
    <t>h. Air untuk mandi / cuci warga di Desa bersumber dari lainnya</t>
  </si>
  <si>
    <t>Warga Desa membuang sampah</t>
  </si>
  <si>
    <t>Ketersediaan TPS (Tempat Penampungan Sampah Sementara)</t>
  </si>
  <si>
    <t>Kebiasaan warga Desa membuang limbah cair atau air kotor</t>
  </si>
  <si>
    <t>Jumlah keluarga yang belum teraliri listrik</t>
  </si>
  <si>
    <t>Sinyal telepon seluler / handphone di Desa</t>
  </si>
  <si>
    <t>Siaran program televisi saluran TVRI Nasional dan TVRI daerah</t>
  </si>
  <si>
    <t>Siaran program televisi saluran swasta</t>
  </si>
  <si>
    <t>Siaran program televisi saluran luar negeri</t>
  </si>
  <si>
    <t>Terdapat fasilitas internet di kantor kepala Desa</t>
  </si>
  <si>
    <t>Warga Desa memiliki akses internet</t>
  </si>
  <si>
    <t>a. Papan informasi</t>
  </si>
  <si>
    <t xml:space="preserve">Sumber penghasilan utama penduduk Desa </t>
  </si>
  <si>
    <t>Terdapat produk unggulan di Desa</t>
  </si>
  <si>
    <t>a. Terdapat produksi hasil tangkapan laut</t>
  </si>
  <si>
    <t>a. Ketersediaan kelompok pertokoan di Desa</t>
  </si>
  <si>
    <t>b. Jarak ke kelompok pertokoan terdekat</t>
  </si>
  <si>
    <t>Jumlah pasar dengan bangunan permanen</t>
  </si>
  <si>
    <t>Jumlah pasar dengan bangunan semi permanen</t>
  </si>
  <si>
    <t>a. Terdapat pasar tanpa bangunan di Desa</t>
  </si>
  <si>
    <t>b. Jumlah pasar tanpa bangunan di Desa</t>
  </si>
  <si>
    <t>Jumlah toko / warung kelontong di Desa</t>
  </si>
  <si>
    <t>Terdapat warung / kedai makanan dan minuman di Desa</t>
  </si>
  <si>
    <t>a. Terdapat hotel / penginapan di Desa</t>
  </si>
  <si>
    <t xml:space="preserve">b. Jarak ke hotel / penginapan terdekat </t>
  </si>
  <si>
    <t>c. Waktu tempuh menuju hotel / penginapan terdekat</t>
  </si>
  <si>
    <t>Terdapat kantor pos / pos pembantu / rumah pos / pos keliling di Desa</t>
  </si>
  <si>
    <t>Terdapat BPR di Desa</t>
  </si>
  <si>
    <t>Jumlah Koperasi di Desa yang aktif beroperasi</t>
  </si>
  <si>
    <t>a. Terdapat BUMDesa</t>
  </si>
  <si>
    <t>a. Terjadi pencemaran air di Desa</t>
  </si>
  <si>
    <t>b. Terjadi pencemaran tanah di Desa</t>
  </si>
  <si>
    <t>c. Terjadi pencemaran udara di Desa</t>
  </si>
  <si>
    <t>Dampak pencemaran lingkungan</t>
  </si>
  <si>
    <t>Terdapat sungai yang terkena pembuangan limbah</t>
  </si>
  <si>
    <t>Terdapat perubahan penggunaan lahan dari sektor pertanian menjadi non-pertanian</t>
  </si>
  <si>
    <t>a. Ketersediaan pendamping Lokal Desa di Desa</t>
  </si>
  <si>
    <t>b. Jumlah pendamping lokal Desa di Kecamatan</t>
  </si>
  <si>
    <t>Sumber pangan yang paling sering dikonsumsi masyarakat Desa</t>
  </si>
  <si>
    <t>Terdapat Peraturan Desa tentang Kesehatan dan Pendidikan</t>
  </si>
  <si>
    <t>b. Musyawarah Desa</t>
  </si>
  <si>
    <t>c. Website</t>
  </si>
  <si>
    <t>d. Lainnya</t>
  </si>
  <si>
    <t>Skor Akses Sarkes</t>
  </si>
  <si>
    <t>Skor Dokter</t>
  </si>
  <si>
    <t xml:space="preserve">Skor Bidan </t>
  </si>
  <si>
    <t>Skor Nakes Lain</t>
  </si>
  <si>
    <t>Skor Tingkat Kepesertaan BPJS</t>
  </si>
  <si>
    <t>Skor Akses Poskesdes</t>
  </si>
  <si>
    <t>Skor Aktivitas Posyandu</t>
  </si>
  <si>
    <t>Skor Akses SD/MI</t>
  </si>
  <si>
    <t>Skor Akses SMP/MTS</t>
  </si>
  <si>
    <t>Skor Akses SMA/SMK</t>
  </si>
  <si>
    <t>Skor Ketersediaan PAUD</t>
  </si>
  <si>
    <t>Skor Ketersediaan PKBM/ Paket ABC</t>
  </si>
  <si>
    <t>Skor Ketersediaan Kursus</t>
  </si>
  <si>
    <t>Skor Kebiasaan Goryong</t>
  </si>
  <si>
    <t>Skor Frekuensi Goryong</t>
  </si>
  <si>
    <t>Skor Ketersediaan Ruang Publik</t>
  </si>
  <si>
    <t>Skor Kelompok OR</t>
  </si>
  <si>
    <t>Skor Kegiatan OR</t>
  </si>
  <si>
    <t>Skor Keragaman Agama</t>
  </si>
  <si>
    <t>Skor Keragaman Bahasa</t>
  </si>
  <si>
    <t>Skor Keragaman Komunikasi</t>
  </si>
  <si>
    <t>Skor Poskamling</t>
  </si>
  <si>
    <t>Skor Siskamling</t>
  </si>
  <si>
    <t>Skor Konflik</t>
  </si>
  <si>
    <t>JML PMKS</t>
  </si>
  <si>
    <t>Skor PMKS</t>
  </si>
  <si>
    <t>Skor SLB</t>
  </si>
  <si>
    <t>Skor Akses Listrik</t>
  </si>
  <si>
    <t>Skor Sinyal Tlp</t>
  </si>
  <si>
    <t>Skor Akses Internet Warga</t>
  </si>
  <si>
    <t>Skor Akses Jamban</t>
  </si>
  <si>
    <t>Skor Sampah</t>
  </si>
  <si>
    <t>Skor Air Minum</t>
  </si>
  <si>
    <t>Skor Air Mandi &amp; Cuci</t>
  </si>
  <si>
    <t>IKS</t>
  </si>
  <si>
    <t>Skor Keragaman Produksi</t>
  </si>
  <si>
    <t>Skor Pertokoan</t>
  </si>
  <si>
    <t>Skor Pasar</t>
  </si>
  <si>
    <t>Skor Toko/ Warung Kelontong</t>
  </si>
  <si>
    <t>Skor Kedai &amp; Penginapan</t>
  </si>
  <si>
    <t>Skor POS &amp; Logistik</t>
  </si>
  <si>
    <t>BANK + BPR</t>
  </si>
  <si>
    <t>Skor Bank &amp; BPR</t>
  </si>
  <si>
    <t>Skor Kredit</t>
  </si>
  <si>
    <t>KOPERASI + BUMDES</t>
  </si>
  <si>
    <t>Skor Lembaga Ekonomi</t>
  </si>
  <si>
    <t>Skor Moda Transportasi Umum</t>
  </si>
  <si>
    <t>Skor Keterbukaan Wilayah</t>
  </si>
  <si>
    <t>Skor Kualitas Jalan</t>
  </si>
  <si>
    <t>IKE</t>
  </si>
  <si>
    <t>Skor Kualitas Lingkungan</t>
  </si>
  <si>
    <t>Jml Bencana</t>
  </si>
  <si>
    <t>Skor Rawan Bencana</t>
  </si>
  <si>
    <t>Skor Tanggap Bencana</t>
  </si>
  <si>
    <t>IKL</t>
  </si>
  <si>
    <t>IDM</t>
  </si>
  <si>
    <t>Petugas</t>
  </si>
  <si>
    <t>tgl_kuesioner</t>
  </si>
  <si>
    <t>telp_petugas</t>
  </si>
  <si>
    <t>Informan</t>
  </si>
  <si>
    <t>Jab_Informan</t>
  </si>
  <si>
    <t>Tel_Informan</t>
  </si>
  <si>
    <t>TL_Informan</t>
  </si>
  <si>
    <t>JK_Informan</t>
  </si>
  <si>
    <t>ID_Prov</t>
  </si>
  <si>
    <t>Prov</t>
  </si>
  <si>
    <t>ID_Kab</t>
  </si>
  <si>
    <t>Kab</t>
  </si>
  <si>
    <t>ID_Kec</t>
  </si>
  <si>
    <t>Kec</t>
  </si>
  <si>
    <t>ID_Desa</t>
  </si>
  <si>
    <t>Desa</t>
  </si>
  <si>
    <t>Alamat</t>
  </si>
  <si>
    <t>Tel_Kantor</t>
  </si>
  <si>
    <t>Email_Desa</t>
  </si>
  <si>
    <t>Sekdes_Lk</t>
  </si>
  <si>
    <t>Sekdes_Pr</t>
  </si>
  <si>
    <t>KaurTU_Lk</t>
  </si>
  <si>
    <t>KaurTU_Pr</t>
  </si>
  <si>
    <t>KaurKeu_Lk</t>
  </si>
  <si>
    <t>KaurKeu_Pr</t>
  </si>
  <si>
    <t>KaurCan_Lk</t>
  </si>
  <si>
    <t>KaurCan_Pr</t>
  </si>
  <si>
    <t>KasiPemr_Lk</t>
  </si>
  <si>
    <t>KasiPemr_Pr</t>
  </si>
  <si>
    <t>KasiKesj_Lk</t>
  </si>
  <si>
    <t>KasiKesj_Pr</t>
  </si>
  <si>
    <t>KasiPel_Lk</t>
  </si>
  <si>
    <t>KasiPel_Pr</t>
  </si>
  <si>
    <t>Stafdes_Lk</t>
  </si>
  <si>
    <t>Stafdes_Pr</t>
  </si>
  <si>
    <t>BPD_Ang_Lk</t>
  </si>
  <si>
    <t>BPD_Ang_Pr</t>
  </si>
  <si>
    <t>LPM_Ang_Lk</t>
  </si>
  <si>
    <t>LPM_Ang_Pr</t>
  </si>
  <si>
    <t>TPPKK_Lk</t>
  </si>
  <si>
    <t>TPPKK_Pr</t>
  </si>
  <si>
    <t>Kadus_Lk</t>
  </si>
  <si>
    <t>Kadus_Pr</t>
  </si>
  <si>
    <t>KaRW_Lk</t>
  </si>
  <si>
    <t>KaRW_Pr</t>
  </si>
  <si>
    <t>KaRT_Lk</t>
  </si>
  <si>
    <t>KaRT_Pr</t>
  </si>
  <si>
    <t>LWil_Desa</t>
  </si>
  <si>
    <t>Hutan_Desa</t>
  </si>
  <si>
    <t>JenisWil_Desa</t>
  </si>
  <si>
    <t>Total_Pend</t>
  </si>
  <si>
    <t>Total_Lk</t>
  </si>
  <si>
    <t>Total_Pr</t>
  </si>
  <si>
    <t>Pendatang</t>
  </si>
  <si>
    <t>Pend_pergi</t>
  </si>
  <si>
    <t>Total_KK</t>
  </si>
  <si>
    <t>Total_KKP</t>
  </si>
  <si>
    <t>Total_KKmis</t>
  </si>
  <si>
    <t>Total_By</t>
  </si>
  <si>
    <t>Total_Balita</t>
  </si>
  <si>
    <t>Total_Rmj</t>
  </si>
  <si>
    <t>Total_Dw1</t>
  </si>
  <si>
    <t>Total_Dw2</t>
  </si>
  <si>
    <t>Total_Lansia</t>
  </si>
  <si>
    <t>Petani_Lk</t>
  </si>
  <si>
    <t>Petani_Pr</t>
  </si>
  <si>
    <t>Nelayan_Lk</t>
  </si>
  <si>
    <t>Nelayan_Pr</t>
  </si>
  <si>
    <t>Buruh_tani_Lk</t>
  </si>
  <si>
    <t>Buruh_tani_Pr</t>
  </si>
  <si>
    <t>Buruh_pabrik_Lk</t>
  </si>
  <si>
    <t>Buruh_pabrik_Pr</t>
  </si>
  <si>
    <t>PNS_Lk</t>
  </si>
  <si>
    <t>PNS_Pr</t>
  </si>
  <si>
    <t>Swasta_Lk</t>
  </si>
  <si>
    <t>Swasta_Pr</t>
  </si>
  <si>
    <t>Wiraswasta_Lk</t>
  </si>
  <si>
    <t>Wiraswasta_Pr</t>
  </si>
  <si>
    <t>Pekerja_lain</t>
  </si>
  <si>
    <t>Pekerja_lain_Lk</t>
  </si>
  <si>
    <t>Pekerja_lain_Pr</t>
  </si>
  <si>
    <t>PBK_Lk</t>
  </si>
  <si>
    <t>PBK_Pr</t>
  </si>
  <si>
    <t>Sarkes_terdekat</t>
  </si>
  <si>
    <t>Jarak_sarkes</t>
  </si>
  <si>
    <t>Menit_sarkes</t>
  </si>
  <si>
    <t>BDD</t>
  </si>
  <si>
    <t>Jml_BDD</t>
  </si>
  <si>
    <t>Dokter</t>
  </si>
  <si>
    <t>Jml_dr</t>
  </si>
  <si>
    <t>Nakes</t>
  </si>
  <si>
    <t>Jml_Nakes</t>
  </si>
  <si>
    <t>Poskeslindes</t>
  </si>
  <si>
    <t>Jarak_Poskeslindes</t>
  </si>
  <si>
    <t>Menit_Poskeslindes</t>
  </si>
  <si>
    <t>Fungsi_Poskeslindes</t>
  </si>
  <si>
    <t>RumahSinggah</t>
  </si>
  <si>
    <t>Jml_Posyandu</t>
  </si>
  <si>
    <t>Posyandu_1bln</t>
  </si>
  <si>
    <t>Posyandu_2bln</t>
  </si>
  <si>
    <t>Partisipasi_posyandu</t>
  </si>
  <si>
    <t>Biaya_posyandu</t>
  </si>
  <si>
    <t>Jamkesda</t>
  </si>
  <si>
    <t>AKI</t>
  </si>
  <si>
    <t>Jml_AKI</t>
  </si>
  <si>
    <t>AKABa</t>
  </si>
  <si>
    <t>Jml_AKABa</t>
  </si>
  <si>
    <t>AKB</t>
  </si>
  <si>
    <t>Jml_AKB</t>
  </si>
  <si>
    <t>Gizbur</t>
  </si>
  <si>
    <t xml:space="preserve">Jml_gizbur  </t>
  </si>
  <si>
    <t>KLB</t>
  </si>
  <si>
    <t>Penyakit_KLB</t>
  </si>
  <si>
    <t>Jumlah_SD</t>
  </si>
  <si>
    <t>Jumlah_guruSD</t>
  </si>
  <si>
    <t>Jarak_SD</t>
  </si>
  <si>
    <t>Menit_SD</t>
  </si>
  <si>
    <t>Jumlah_SMP</t>
  </si>
  <si>
    <t>Jumlah_guruSMP</t>
  </si>
  <si>
    <t>Jarak_SMP</t>
  </si>
  <si>
    <t>Menit_SMP</t>
  </si>
  <si>
    <t>Jumlah_SMU</t>
  </si>
  <si>
    <t>Jumlah_guruSMU</t>
  </si>
  <si>
    <t>Jarak_SMU</t>
  </si>
  <si>
    <t>Menit_SMU</t>
  </si>
  <si>
    <t>Ed_pend</t>
  </si>
  <si>
    <t>SD_tdk_sklh</t>
  </si>
  <si>
    <t>SD_tdk_sklh_jml</t>
  </si>
  <si>
    <t>SMP_tdk_sklh</t>
  </si>
  <si>
    <t>SMP_tdk_sklh_jml</t>
  </si>
  <si>
    <t>PAUD</t>
  </si>
  <si>
    <t>Jarak_PAUD</t>
  </si>
  <si>
    <t>Guru_PAUD</t>
  </si>
  <si>
    <t>PKBM</t>
  </si>
  <si>
    <t>Jml_kursus</t>
  </si>
  <si>
    <t>Jarak_kursus</t>
  </si>
  <si>
    <t>TBM</t>
  </si>
  <si>
    <t>Pemanfaatan_TBM</t>
  </si>
  <si>
    <t>GotongRoyong</t>
  </si>
  <si>
    <t>Fr_GotongRoyong</t>
  </si>
  <si>
    <t>RPublik</t>
  </si>
  <si>
    <t>KarangTaruna</t>
  </si>
  <si>
    <t>KarangTaruna_frek</t>
  </si>
  <si>
    <t>PKK</t>
  </si>
  <si>
    <t>PKK_frek</t>
  </si>
  <si>
    <t>Org_agm</t>
  </si>
  <si>
    <t>Org_agm_frek</t>
  </si>
  <si>
    <t>Panti</t>
  </si>
  <si>
    <t>Panti_frek</t>
  </si>
  <si>
    <t>Arisan</t>
  </si>
  <si>
    <t>Arisan_frek</t>
  </si>
  <si>
    <t>Lemb_tani</t>
  </si>
  <si>
    <t>Lemb_tani_frek</t>
  </si>
  <si>
    <t>Lemb_nelayan</t>
  </si>
  <si>
    <t>Lemb_nelayan_frek</t>
  </si>
  <si>
    <t>Lemb_usternak</t>
  </si>
  <si>
    <t>Lemb_usternak_frek</t>
  </si>
  <si>
    <t>Lemb_pengrajin</t>
  </si>
  <si>
    <t>Lemb_pengrajin_frek</t>
  </si>
  <si>
    <t>Lemb_wanita</t>
  </si>
  <si>
    <t>Lemb_wanita_frek</t>
  </si>
  <si>
    <t>Lemb_lain</t>
  </si>
  <si>
    <t>Lemb_lain_ sebutkan</t>
  </si>
  <si>
    <t>Lemb_lain_frek</t>
  </si>
  <si>
    <t>Partispasi_musdes</t>
  </si>
  <si>
    <t>Frek_musdes</t>
  </si>
  <si>
    <t>Perempuan_musdes</t>
  </si>
  <si>
    <t>Keg_OR</t>
  </si>
  <si>
    <t>Suku</t>
  </si>
  <si>
    <t>Bahasa</t>
  </si>
  <si>
    <t>Islam</t>
  </si>
  <si>
    <t>Kristen</t>
  </si>
  <si>
    <t>Katolik</t>
  </si>
  <si>
    <t>Buddha</t>
  </si>
  <si>
    <t>Hindu</t>
  </si>
  <si>
    <t>Konghucu</t>
  </si>
  <si>
    <t>Agama_Lainnya</t>
  </si>
  <si>
    <t>Agama_Lainnya_sebutkan</t>
  </si>
  <si>
    <t>Masjid</t>
  </si>
  <si>
    <t>Gereja_Kristen</t>
  </si>
  <si>
    <t>Gereja_Katolik</t>
  </si>
  <si>
    <t>Wihara</t>
  </si>
  <si>
    <t>Pura</t>
  </si>
  <si>
    <t>Kelenteng</t>
  </si>
  <si>
    <t>Agama_mayoritas</t>
  </si>
  <si>
    <t>Kel_Seni</t>
  </si>
  <si>
    <t>Frek_KegSeni</t>
  </si>
  <si>
    <t>Jml_KelSeni</t>
  </si>
  <si>
    <t>Hadir_AdatLahir</t>
  </si>
  <si>
    <t>Hadir_AdatKematian</t>
  </si>
  <si>
    <t>Hadir_AdatNikah</t>
  </si>
  <si>
    <t>HariBesar_lain</t>
  </si>
  <si>
    <t>HariBesar_lain_sebutkan</t>
  </si>
  <si>
    <t>Poskamling</t>
  </si>
  <si>
    <t>Siskamling_warga</t>
  </si>
  <si>
    <t>Konflik</t>
  </si>
  <si>
    <t>Konflik_masy</t>
  </si>
  <si>
    <t>Konflik_Desa</t>
  </si>
  <si>
    <t>Konflik_kam</t>
  </si>
  <si>
    <t>Konflik_pemr</t>
  </si>
  <si>
    <t>Konflik_mhs</t>
  </si>
  <si>
    <t>Konflik_suku</t>
  </si>
  <si>
    <t>Konflik_agm</t>
  </si>
  <si>
    <t>Konflik_lainnya</t>
  </si>
  <si>
    <t>Konflik_lainnya_sebutkan</t>
  </si>
  <si>
    <t>Damai</t>
  </si>
  <si>
    <t>Damai_kam</t>
  </si>
  <si>
    <t>Damai_pemr</t>
  </si>
  <si>
    <t>Damai_TokohMasy</t>
  </si>
  <si>
    <t>Damai_TokohAg</t>
  </si>
  <si>
    <t>Damai_lainnya</t>
  </si>
  <si>
    <t>Damai_lainnya_sebutkan</t>
  </si>
  <si>
    <t>Tidak_ada_mediator</t>
  </si>
  <si>
    <t>Damai_trad</t>
  </si>
  <si>
    <t>Curi</t>
  </si>
  <si>
    <t>Tipu</t>
  </si>
  <si>
    <t>Aniaya</t>
  </si>
  <si>
    <t>Bakar</t>
  </si>
  <si>
    <t>Susila</t>
  </si>
  <si>
    <t>Narkoba</t>
  </si>
  <si>
    <t>Judi</t>
  </si>
  <si>
    <t>Bunuh</t>
  </si>
  <si>
    <t>Traffick</t>
  </si>
  <si>
    <t>Kejahatan</t>
  </si>
  <si>
    <t>SLB</t>
  </si>
  <si>
    <t>Jml_SLB</t>
  </si>
  <si>
    <t>Jarak_SLB</t>
  </si>
  <si>
    <t>Anak_Jalanan</t>
  </si>
  <si>
    <t>Anak_terlantar</t>
  </si>
  <si>
    <t>Kekerasan</t>
  </si>
  <si>
    <t>LUT</t>
  </si>
  <si>
    <t>NAPZA</t>
  </si>
  <si>
    <t>Migran</t>
  </si>
  <si>
    <t>Gepeng</t>
  </si>
  <si>
    <t>PSK</t>
  </si>
  <si>
    <t>BunuhDiri</t>
  </si>
  <si>
    <t>AirMn_kemasan</t>
  </si>
  <si>
    <t>AirMn_PAM</t>
  </si>
  <si>
    <t>AirMn_ledeng_tanpa_meteran</t>
  </si>
  <si>
    <t>AirMn_sumurbor</t>
  </si>
  <si>
    <t>AirMn_sumur</t>
  </si>
  <si>
    <t>AirMn_mataair</t>
  </si>
  <si>
    <t>AirMn_sungai</t>
  </si>
  <si>
    <t>AirMn_hujan</t>
  </si>
  <si>
    <t>AirMn_lainnya</t>
  </si>
  <si>
    <t>AirMn_lainnya_sebutkan</t>
  </si>
  <si>
    <t>Cara_AirMn</t>
  </si>
  <si>
    <t>AirMC_PAM</t>
  </si>
  <si>
    <t>AirMC_ledeng_tanpa_meteran</t>
  </si>
  <si>
    <t>AirMC_sumurbor</t>
  </si>
  <si>
    <t>AirMC_Sumur</t>
  </si>
  <si>
    <t>AirMC_mataair</t>
  </si>
  <si>
    <t>AirMC_sungai</t>
  </si>
  <si>
    <t>AirMC_hujan</t>
  </si>
  <si>
    <t>AirMC_lainnya</t>
  </si>
  <si>
    <t>AirMC_lainnya_sebutkan</t>
  </si>
  <si>
    <t>BAB</t>
  </si>
  <si>
    <t>Sampah</t>
  </si>
  <si>
    <t>TPS</t>
  </si>
  <si>
    <t>Limbah</t>
  </si>
  <si>
    <t>JmlKK_listrikPLN</t>
  </si>
  <si>
    <t>JmlKK_listrikNonPLN</t>
  </si>
  <si>
    <t>KK_nonListrik</t>
  </si>
  <si>
    <t>E_terbarukan</t>
  </si>
  <si>
    <t>Sinyal</t>
  </si>
  <si>
    <t>Telkomsel</t>
  </si>
  <si>
    <t>Indosat</t>
  </si>
  <si>
    <t>Op_lainnya</t>
  </si>
  <si>
    <t>Op_lainnya_sebutkan</t>
  </si>
  <si>
    <t>TVRI</t>
  </si>
  <si>
    <t>TVswasta</t>
  </si>
  <si>
    <t>TVLN</t>
  </si>
  <si>
    <t>Internet</t>
  </si>
  <si>
    <t>Warnet</t>
  </si>
  <si>
    <t>Info_mading</t>
  </si>
  <si>
    <t>WebDesa</t>
  </si>
  <si>
    <t>Info_lain</t>
  </si>
  <si>
    <t>Info_lain_sebutkan</t>
  </si>
  <si>
    <t>Penghasilan</t>
  </si>
  <si>
    <t>Produk_unggul</t>
  </si>
  <si>
    <t>Perubahan_tani</t>
  </si>
  <si>
    <t>Produk_laut</t>
  </si>
  <si>
    <t>Perubahan_laut</t>
  </si>
  <si>
    <t>UMenengah</t>
  </si>
  <si>
    <t>Kel_Toko</t>
  </si>
  <si>
    <t>Jarak_kelToko</t>
  </si>
  <si>
    <t>Pasar_permanen</t>
  </si>
  <si>
    <t>Pasar_semipermanen</t>
  </si>
  <si>
    <t>Pasar_tnpBangunan</t>
  </si>
  <si>
    <t>Jml_Pasar_ tnpBangunan</t>
  </si>
  <si>
    <t>TokoKelontong</t>
  </si>
  <si>
    <t>Kedai_MakMin</t>
  </si>
  <si>
    <t>Hotel</t>
  </si>
  <si>
    <t>Jarak_hotel</t>
  </si>
  <si>
    <t>Menit_hotel</t>
  </si>
  <si>
    <t>Pos</t>
  </si>
  <si>
    <t>Jarak_Pos</t>
  </si>
  <si>
    <t>Jasa_ekspedisi</t>
  </si>
  <si>
    <t>Jarak_Jasa_ekspedisi</t>
  </si>
  <si>
    <t>Bank_Pemr</t>
  </si>
  <si>
    <t>Bank_Swasta</t>
  </si>
  <si>
    <t>BPR</t>
  </si>
  <si>
    <t>KUR</t>
  </si>
  <si>
    <t>KKPE</t>
  </si>
  <si>
    <t>KUK</t>
  </si>
  <si>
    <t>Kredit_lain</t>
  </si>
  <si>
    <t>Kredit_lain_sebutkan</t>
  </si>
  <si>
    <t>Kop_aktif</t>
  </si>
  <si>
    <t>BUMDes</t>
  </si>
  <si>
    <t>TransUmum</t>
  </si>
  <si>
    <t>TransUmum_tiaphari</t>
  </si>
  <si>
    <t>TransUmum_jam</t>
  </si>
  <si>
    <t>Jalan_Desa</t>
  </si>
  <si>
    <t>Pmk_jalan</t>
  </si>
  <si>
    <t>Kualitas_jalan</t>
  </si>
  <si>
    <t>AirDesa</t>
  </si>
  <si>
    <t>Cemar_air</t>
  </si>
  <si>
    <t>Cemar_tanah</t>
  </si>
  <si>
    <t>Cemar_udara</t>
  </si>
  <si>
    <t>Dampak_cemar</t>
  </si>
  <si>
    <t>Sungai_limbah</t>
  </si>
  <si>
    <t>Tataruang</t>
  </si>
  <si>
    <t>Perub_lahan</t>
  </si>
  <si>
    <t>TanahLongsor</t>
  </si>
  <si>
    <t>Banjir</t>
  </si>
  <si>
    <t>Gempa</t>
  </si>
  <si>
    <t>Tsunami</t>
  </si>
  <si>
    <t>GelPasang</t>
  </si>
  <si>
    <t>AnginPuyuh</t>
  </si>
  <si>
    <t>GunungMeletus</t>
  </si>
  <si>
    <t>Kebakaran</t>
  </si>
  <si>
    <t>Kekeringan</t>
  </si>
  <si>
    <t>Bencana_lainnya</t>
  </si>
  <si>
    <t>Frek_Bencana_lainnya</t>
  </si>
  <si>
    <t>SPDben</t>
  </si>
  <si>
    <t>SPDben_tsunami</t>
  </si>
  <si>
    <t>Perlap_keselamtan</t>
  </si>
  <si>
    <t>Jalur_evakuasi</t>
  </si>
  <si>
    <t>PLD</t>
  </si>
  <si>
    <t>Jml_PLD</t>
  </si>
  <si>
    <t>Kebun_gizi</t>
  </si>
  <si>
    <t>Pangan</t>
  </si>
  <si>
    <t>Perdes</t>
  </si>
  <si>
    <t>InfoAPBDes_mading</t>
  </si>
  <si>
    <t>InfoAPBDes_mus</t>
  </si>
  <si>
    <t>InfoAPBDes_web</t>
  </si>
  <si>
    <t>InfoAPBDes_lain</t>
  </si>
  <si>
    <t>a. Sekretaris Desa</t>
  </si>
  <si>
    <t>I. IDENTITAS DESA</t>
  </si>
  <si>
    <t>IP. IDENTITAS PETUGAS</t>
  </si>
  <si>
    <t>II. DATA GEOGRAFI, TOPOGRAFI, DAN DEMOGRAFI</t>
  </si>
  <si>
    <t>DATA GEOGRAFI</t>
  </si>
  <si>
    <t>DATA TOPOGRAFI</t>
  </si>
  <si>
    <t>Orang</t>
  </si>
  <si>
    <t>DATA DEMOGRAFI</t>
  </si>
  <si>
    <t>Kepala Keluarga</t>
  </si>
  <si>
    <t>Jiwa</t>
  </si>
  <si>
    <t>Jumlah Penduduk Berdasarkan Struktur Usia</t>
  </si>
  <si>
    <t>Jumlah Penduduk Berdasarkan Pekerjaan</t>
  </si>
  <si>
    <t>KK</t>
  </si>
  <si>
    <t>III. DIMENSI SOSIAL</t>
  </si>
  <si>
    <t>KESEHATAN</t>
  </si>
  <si>
    <t>Ketersediaan Sarana Kesehatan</t>
  </si>
  <si>
    <t>Menit</t>
  </si>
  <si>
    <t>Meter</t>
  </si>
  <si>
    <t>Ketersediaan Tenaga Kesehatan Bidan</t>
  </si>
  <si>
    <t>Ketersediaan Tenaga Kesehatan Dokter</t>
  </si>
  <si>
    <t>Ketersediaan Tenaga Kesehatan Lainnya</t>
  </si>
  <si>
    <t>Akses Ke Poskesdes/ Polindes dan Posyandu</t>
  </si>
  <si>
    <t>Unit</t>
  </si>
  <si>
    <t>Tingkat Kepesertaan BPJS</t>
  </si>
  <si>
    <t>Derajat Kesehatan dan Gizi Buruk</t>
  </si>
  <si>
    <t>Kasus</t>
  </si>
  <si>
    <t>PENDIDIKAN</t>
  </si>
  <si>
    <t>Akses Ke Pendidikan Dasar dan Menengah</t>
  </si>
  <si>
    <t>d. Waktu tempuh untuk menuju ke SMP / MTs terdekat</t>
  </si>
  <si>
    <t>Data Tingkat Pendidikan</t>
  </si>
  <si>
    <t>Anak</t>
  </si>
  <si>
    <t>Akses Pengetahuan</t>
  </si>
  <si>
    <t>Modal Sosial</t>
  </si>
  <si>
    <t>Kali/ Tahun</t>
  </si>
  <si>
    <t>Kelompok</t>
  </si>
  <si>
    <t>Kali</t>
  </si>
  <si>
    <t>Keamanan Warga</t>
  </si>
  <si>
    <t>Kesejahteraan Sosial</t>
  </si>
  <si>
    <t>Km</t>
  </si>
  <si>
    <t>PERMUKIMAN</t>
  </si>
  <si>
    <t>Akses Air Bersih dan Air Minum</t>
  </si>
  <si>
    <t>Akses Sanitasi</t>
  </si>
  <si>
    <t>Akses Listrik</t>
  </si>
  <si>
    <t>a. Jumlah keluarga di Desa yang menggunakan sumber listrik dari PLN</t>
  </si>
  <si>
    <t>b. Jumlah keluarga di Desa yang menggunakan sumber listrik dari non-PLN</t>
  </si>
  <si>
    <t>Akses Informasi &amp; Komunikasi</t>
  </si>
  <si>
    <r>
      <t xml:space="preserve">a. Operator / </t>
    </r>
    <r>
      <rPr>
        <i/>
        <sz val="8"/>
        <color theme="1"/>
        <rFont val="Tahoma"/>
        <family val="2"/>
      </rPr>
      <t>provider</t>
    </r>
    <r>
      <rPr>
        <sz val="8"/>
        <color theme="1"/>
        <rFont val="Tahoma"/>
        <family val="2"/>
      </rPr>
      <t xml:space="preserve"> telepon seluler Telkomsel dapat menerima sinyal</t>
    </r>
  </si>
  <si>
    <r>
      <t xml:space="preserve">b. Operator / </t>
    </r>
    <r>
      <rPr>
        <i/>
        <sz val="8"/>
        <color theme="1"/>
        <rFont val="Tahoma"/>
        <family val="2"/>
      </rPr>
      <t>provider</t>
    </r>
    <r>
      <rPr>
        <sz val="8"/>
        <color theme="1"/>
        <rFont val="Tahoma"/>
        <family val="2"/>
      </rPr>
      <t xml:space="preserve"> telepon seluler Indosat dapat menerima sinyal</t>
    </r>
  </si>
  <si>
    <r>
      <t xml:space="preserve">c. Operator / </t>
    </r>
    <r>
      <rPr>
        <i/>
        <sz val="8"/>
        <color theme="1"/>
        <rFont val="Tahoma"/>
        <family val="2"/>
      </rPr>
      <t>provider</t>
    </r>
    <r>
      <rPr>
        <sz val="8"/>
        <color theme="1"/>
        <rFont val="Tahoma"/>
        <family val="2"/>
      </rPr>
      <t xml:space="preserve"> telepon seluler XL dapat menerima sinyal</t>
    </r>
  </si>
  <si>
    <r>
      <t xml:space="preserve">d. Operator / </t>
    </r>
    <r>
      <rPr>
        <i/>
        <sz val="8"/>
        <color theme="1"/>
        <rFont val="Tahoma"/>
        <family val="2"/>
      </rPr>
      <t>provider</t>
    </r>
    <r>
      <rPr>
        <sz val="8"/>
        <color theme="1"/>
        <rFont val="Tahoma"/>
        <family val="2"/>
      </rPr>
      <t xml:space="preserve"> telepon seluler lainnya dapat menerima sinyal</t>
    </r>
  </si>
  <si>
    <t>IV DIMENSI EKONOMI</t>
  </si>
  <si>
    <t>Keragaman Produksi Masyarakat Desa</t>
  </si>
  <si>
    <t>Akses Ke Pusat Perdagangan</t>
  </si>
  <si>
    <t>Akses Distribusi / Logistik</t>
  </si>
  <si>
    <t>Akses Lembaga Keuangan</t>
  </si>
  <si>
    <t>Ketersediaan Lembaga Ekonomi</t>
  </si>
  <si>
    <t>Keterbukaan Wilayah</t>
  </si>
  <si>
    <t>V DIMENSI EKOLOGI</t>
  </si>
  <si>
    <t>Kondisi Linkungan</t>
  </si>
  <si>
    <t>Potensi Bencana</t>
  </si>
  <si>
    <t>VI AKTIVITAS Desa</t>
  </si>
  <si>
    <t>JML SLB</t>
  </si>
  <si>
    <t>Jml Posyandu Aktif</t>
  </si>
  <si>
    <t>Jml Penduduk BPJS</t>
  </si>
  <si>
    <t>Value ISLAM</t>
  </si>
  <si>
    <t>Value KRISTEN</t>
  </si>
  <si>
    <t>Value KATOLIK</t>
  </si>
  <si>
    <t>Value BUDDHA</t>
  </si>
  <si>
    <t>Value HINDU</t>
  </si>
  <si>
    <t>Value KONGHUCU</t>
  </si>
  <si>
    <t>Value Cemar Air</t>
  </si>
  <si>
    <t>Value Cemar Tanah</t>
  </si>
  <si>
    <t>Value Cemar Udara</t>
  </si>
  <si>
    <t>Value Limbah</t>
  </si>
  <si>
    <t>Rata-Rata Pencemaran</t>
  </si>
  <si>
    <t xml:space="preserve"> Longsor</t>
  </si>
  <si>
    <t>Value Peringatan Dini</t>
  </si>
  <si>
    <t>Value Perkap Keselamatan</t>
  </si>
  <si>
    <t>Value Jalur Evakuasi</t>
  </si>
  <si>
    <t>JML Mitigasi</t>
  </si>
  <si>
    <t>JML Industri Mikro: KK</t>
  </si>
  <si>
    <t>JML Pasar</t>
  </si>
  <si>
    <t>KK : JML Pasar</t>
  </si>
  <si>
    <t>Kedai + Penginapan</t>
  </si>
  <si>
    <t>POS + Logistik</t>
  </si>
  <si>
    <t>JML Kredit</t>
  </si>
  <si>
    <t>KK Listrik : (KK Listrik + Non Listrik)</t>
  </si>
  <si>
    <t>Value Agama Lain</t>
  </si>
  <si>
    <t>JML Agama</t>
  </si>
  <si>
    <t>d. Waktu tempuh untuk menuju ke SMU / MA / SMK terdekat</t>
  </si>
  <si>
    <t>PENGOLAHAN DATA IDM</t>
  </si>
  <si>
    <t>PROVINSI</t>
  </si>
  <si>
    <t>KABUPATEN</t>
  </si>
  <si>
    <t>KECAMATAN</t>
  </si>
  <si>
    <t>DESA</t>
  </si>
  <si>
    <t>SKOR</t>
  </si>
  <si>
    <t>UPDATE TANGGAL</t>
  </si>
  <si>
    <t>NO</t>
  </si>
  <si>
    <t xml:space="preserve">KOMPONEN INDEKS DESA MEMBANGUN </t>
  </si>
  <si>
    <t>DIMENSI</t>
  </si>
  <si>
    <t>Pelayanan Kesehatan</t>
  </si>
  <si>
    <t xml:space="preserve"> Jarak ke sarana kesehatan terdekat</t>
  </si>
  <si>
    <t>Ketersediaan Tenaga Kesehatan(bidan,Dokter dan Nakes Lain)</t>
  </si>
  <si>
    <t>Keberdayaan Masyarakat Untuk Kesehatan</t>
  </si>
  <si>
    <t>Askes ke poskesdes, polindes atau posyandu</t>
  </si>
  <si>
    <t>Tingkat Aktivitas Posyandu</t>
  </si>
  <si>
    <t>Jaminan Kesehatan</t>
  </si>
  <si>
    <t>Akses Pendidikan Dasar-Menengah</t>
  </si>
  <si>
    <t>Akses Pendidikan Dasar SD/MI &lt; 3 KM</t>
  </si>
  <si>
    <t>Akses Pendidikan SMP/MTs &lt; 6 KM</t>
  </si>
  <si>
    <t>Akses Pendidikan SMA/SMK/MA &lt; 6 KM</t>
  </si>
  <si>
    <t>Akses Pendidikan Non Formal</t>
  </si>
  <si>
    <t>Kegiatan PAUD</t>
  </si>
  <si>
    <t>Kegiatan PKBM/Paket A-B-C</t>
  </si>
  <si>
    <t>Kegiatan Kursus</t>
  </si>
  <si>
    <t>Akses Pengetahuan Masyarakat</t>
  </si>
  <si>
    <t>Taman Bacaan Masyarakat atau Perpusatkaan Desa</t>
  </si>
  <si>
    <t>MODAL SOSIAL</t>
  </si>
  <si>
    <t>Solidaritas Sosial</t>
  </si>
  <si>
    <t>Kebiasaan Gotong Royong</t>
  </si>
  <si>
    <t>Keterbukaan Ruang Publik</t>
  </si>
  <si>
    <t>Terdafat Kelompok Olahraga</t>
  </si>
  <si>
    <t>Terdapat Kegiatan Olahraga</t>
  </si>
  <si>
    <t>Toleransi</t>
  </si>
  <si>
    <t>Keragaman Suku/Etnis di Desa</t>
  </si>
  <si>
    <t>Bahasa Sehari-hari Warga Desa</t>
  </si>
  <si>
    <t>Agama Mayoritas Warga Desa</t>
  </si>
  <si>
    <t>Rasa Aman Warga Desa</t>
  </si>
  <si>
    <t>Tersedianya Sarana Pos Kamling di Desa</t>
  </si>
  <si>
    <t>Partisipasi Warga Siskamling</t>
  </si>
  <si>
    <t>Kejadian Perkelahian Massal di desa</t>
  </si>
  <si>
    <t>Terdapat Akses ke Sekolah Luar Biasa</t>
  </si>
  <si>
    <t>Terdapat Penyandang Kesejahteraan Sosial   ( Anjal dan Pengemis)</t>
  </si>
  <si>
    <t>Akses Air Bersih dan Layak Minum</t>
  </si>
  <si>
    <t>Mayoritas Warga Memiliku Sumber Air layak Minum</t>
  </si>
  <si>
    <t>Akses Warga Memiliki Air Mandi dan Mencuci</t>
  </si>
  <si>
    <t>Akses ke Fasilitas Sanitasi</t>
  </si>
  <si>
    <t>Mayoritas Warga Memiliki Jamban</t>
  </si>
  <si>
    <t>Terdapat Tempat Pembuangan Sampah</t>
  </si>
  <si>
    <t>Akses Ke Fasilitas Listrik</t>
  </si>
  <si>
    <t>Jumlah Keluarga yang telah memiliki aliran listrik</t>
  </si>
  <si>
    <t>Akses Fasilitas Informasi dan Komunikasi</t>
  </si>
  <si>
    <t>Warga Memiliki Telepon seluler dan Sinyal Kuat</t>
  </si>
  <si>
    <t>Akses Internet di Kantor Desa</t>
  </si>
  <si>
    <t>Terdapat Akses Internet untuk warga</t>
  </si>
  <si>
    <t>EKONOMI         ( IKE )</t>
  </si>
  <si>
    <t>KERAGAMAN PRODUKSI</t>
  </si>
  <si>
    <t>Terdapat Lebih dari Satu Jenis Kegiatan Ekonomi Penduduk</t>
  </si>
  <si>
    <t>PERDAGANGAN</t>
  </si>
  <si>
    <t>Tersedianya Pusat Perdagangan</t>
  </si>
  <si>
    <t>Akses Penduduk ke Pusat Perdagangan (Pertokoan, Pasar Permanen)</t>
  </si>
  <si>
    <t>Terdapatm Pasar Desa</t>
  </si>
  <si>
    <t>Terdapat Sektor Perdagangan (warung minimarket)</t>
  </si>
  <si>
    <t>AKSES DISTRIBUSI</t>
  </si>
  <si>
    <t>Akses Distribusi Logistik</t>
  </si>
  <si>
    <t>Terdapat Kantor Pos dan Jasa Logistik</t>
  </si>
  <si>
    <t>AKSES KREDIT</t>
  </si>
  <si>
    <t>Akkses Terhadap lembaga Keuangan dan Perkreditan</t>
  </si>
  <si>
    <t>Tersedianya Lembaga Pebankan Umum dan BPR</t>
  </si>
  <si>
    <t>Akses Penduduk ke Kredit</t>
  </si>
  <si>
    <t>LEMBAGA EKONOMI</t>
  </si>
  <si>
    <t>Lembaga Ekonomi</t>
  </si>
  <si>
    <t>Tersedianya Lembaga Ekonomi Rakyat (Koperasi)/Bumdes</t>
  </si>
  <si>
    <t>Terdapat Usaha Kedai makanan, Restoran, Hotel dan Penginapan</t>
  </si>
  <si>
    <t>KETERBUKAAN WILAYAH</t>
  </si>
  <si>
    <t>Terdapat Moda (Angkutan Umum, Trayek Reguler dan Jam Operasi)</t>
  </si>
  <si>
    <t>Jalan yang Dapat Dilalui oleh Kendaraan Bermotor Roda Empat atau Lebih</t>
  </si>
  <si>
    <t xml:space="preserve">Kualitas Jalan Desa </t>
  </si>
  <si>
    <t>LINGKUNGAN      ( IKL )</t>
  </si>
  <si>
    <t>KUALTIAS LINGKUNGAN</t>
  </si>
  <si>
    <t>Kualitas Lingkungan</t>
  </si>
  <si>
    <t>Pencemaran Air, Tanah dan Udara</t>
  </si>
  <si>
    <t>POTENSI DAN TANGGAP BANCANA</t>
  </si>
  <si>
    <t>Potensi Rawan Bencana</t>
  </si>
  <si>
    <t>Kejadian Bencana Alam (Banjir, Tanah Longsor, Kebakaran Hutan)</t>
  </si>
  <si>
    <t>Tanggap Bencana</t>
  </si>
  <si>
    <t>Upaya/Tindakan terhadap Potensi Bencana Alam</t>
  </si>
  <si>
    <t>A</t>
  </si>
  <si>
    <t>Per Indikator</t>
  </si>
  <si>
    <t>Per Item</t>
  </si>
  <si>
    <t>B</t>
  </si>
  <si>
    <t>C</t>
  </si>
  <si>
    <t>D</t>
  </si>
  <si>
    <t>PEMUKIMAN</t>
  </si>
  <si>
    <t>SOSIAL ( IKS )</t>
  </si>
  <si>
    <t>E</t>
  </si>
  <si>
    <t>F</t>
  </si>
  <si>
    <t>SOSIAL (IKS)</t>
  </si>
  <si>
    <t>EKONOMI (IKE)</t>
  </si>
  <si>
    <t>LINGKUNGAN (IKL)</t>
  </si>
  <si>
    <t>Terdapat Pasar Desa</t>
  </si>
  <si>
    <t>a. Terdapat kejadian kematian bayi (0-12 Bulan) di Desa</t>
  </si>
  <si>
    <t>b. Jumlah kejadian kematian bayi (0-12 Bulan) di Desa</t>
  </si>
  <si>
    <t>Pengukuran Tikar Pertumbuhan (Deteksi Dini Stunting) Usia Anak 0-23 Bulan</t>
  </si>
  <si>
    <t>Ibu Hamil</t>
  </si>
  <si>
    <t>Anak Usia 0-23 Bulan (0-2 Tahun)</t>
  </si>
  <si>
    <t>Anak Usia &gt; 2-6 Tahun</t>
  </si>
  <si>
    <t>Tingkat Konvergensi Desa Terhadap Ibu Hamil</t>
  </si>
  <si>
    <t>Tingkat Konvergensi Desa Terhadap Anak Usia 0-23 Bulan</t>
  </si>
  <si>
    <t>Tingkat Konvergensi Desa Terhadap Ibu Hamil (Indikator yang Diterima)</t>
  </si>
  <si>
    <t>Tingkat Konvergensi Desa Terhadap Ibu Hamil (Indikator yang Seharusnya Diterima)</t>
  </si>
  <si>
    <t>Rupiah</t>
  </si>
  <si>
    <t>VII SUMBER PENDAPATAN DESA</t>
  </si>
  <si>
    <t>Latitude (LU/LS)</t>
  </si>
  <si>
    <t>Longitude (BB/BT)</t>
  </si>
  <si>
    <t>Alamat Lengkap Kantor Desa</t>
  </si>
  <si>
    <r>
      <t>Km</t>
    </r>
    <r>
      <rPr>
        <vertAlign val="superscript"/>
        <sz val="8"/>
        <color theme="1"/>
        <rFont val="Tahoma"/>
        <family val="2"/>
      </rPr>
      <t>2</t>
    </r>
  </si>
  <si>
    <t>Tahun dan Bulan</t>
  </si>
  <si>
    <t>h. TNI</t>
  </si>
  <si>
    <t>i. POLRI</t>
  </si>
  <si>
    <t>TNI_Lk</t>
  </si>
  <si>
    <t>TNI_Pr</t>
  </si>
  <si>
    <t>POLRI_Lk</t>
  </si>
  <si>
    <t>POLRI_Pr</t>
  </si>
  <si>
    <t>Dokter_Lk</t>
  </si>
  <si>
    <t>Dokter_Pr</t>
  </si>
  <si>
    <t>Perawat_Lk</t>
  </si>
  <si>
    <t>Perawat_Pr</t>
  </si>
  <si>
    <t>m. Lainnya</t>
  </si>
  <si>
    <t>Bidan</t>
  </si>
  <si>
    <t>a. Jumlah Total Rumah Tangga 1.000 HPK</t>
  </si>
  <si>
    <t>b. Jumlah Ibu Hamil</t>
  </si>
  <si>
    <t>Ibu_Hamil</t>
  </si>
  <si>
    <t xml:space="preserve">Usia_Anak_0-23-Bln </t>
  </si>
  <si>
    <t>a. Panjang Anak 0-23 Bulan Pertumbuhan Normal (Hijau)</t>
  </si>
  <si>
    <t>b. Panjang Anak 0-23 Bulan Pertumbuhan Resiko Stunting (Kuning)</t>
  </si>
  <si>
    <t>c. Panjang Anak 0-23 Bulan Pertumbuhan Terindikasi Stunting (Merah)</t>
  </si>
  <si>
    <t>Pertumbuhan_Hijau</t>
  </si>
  <si>
    <t>Pertumbuhan_Kuning</t>
  </si>
  <si>
    <t>Pertumbuhan_Merah</t>
  </si>
  <si>
    <t>a. Jumlah Ibu Hamil yang Periksa 4 Kali Selama Kehamilan</t>
  </si>
  <si>
    <t>b. Jumlah Ibu Hamil yang Mendapat dan Meminum Pil FE Selama 90 Hari</t>
  </si>
  <si>
    <t>c. Jumlah Ibu Bersalin yang Mendapat Layanan Pemeriksaan NIFAS 3 Kali</t>
  </si>
  <si>
    <t>d. Jumlah Ibu Hamil yang Mengikuti Konseling Gizi/ Kelas Ibu Minimal 4 Kali</t>
  </si>
  <si>
    <t>e. Jumlah Ibu Hamil Mengalami Kekurangan Energi Kronis (KEK)</t>
  </si>
  <si>
    <t>f. Jumlah Ibu Hamil yang Mengalami KEK Mendapat Kunjungan Rumah Bulanan</t>
  </si>
  <si>
    <t>g. Jumlah Ibu Hamil Mengalami Resiko Tinggi Kehamilan (RESTI)</t>
  </si>
  <si>
    <t>h. Jumlah Ibu Hamil yang Mengalami RESTI Mendapat Kunjungan Rumah Bulanan</t>
  </si>
  <si>
    <t>k. Jumlah Ibu Hamil yang Memiliki Jaminan Kesehatan</t>
  </si>
  <si>
    <t>Bumil_cek_4kali</t>
  </si>
  <si>
    <t>Bumil_Pil_FE</t>
  </si>
  <si>
    <t>Bumil_NIFAS_3kali</t>
  </si>
  <si>
    <t>Bumil_Konseling_Gizi_4kali</t>
  </si>
  <si>
    <t>Bumil_KEK</t>
  </si>
  <si>
    <t>Bumil_KEK_Kunjungan</t>
  </si>
  <si>
    <t>Bumil_RESTI</t>
  </si>
  <si>
    <t>Bumil_RESTI_Kunjungan</t>
  </si>
  <si>
    <t>Bumil_JamKes</t>
  </si>
  <si>
    <t>b. Jumlah Anak yang Ditimbang Rutin Setiap Bulan</t>
  </si>
  <si>
    <t>c. Jumlah Anak yang Diukur Panjang/Tinggi Badan 2 Kali Dalam Setahun</t>
  </si>
  <si>
    <t>d. Jumlah Orang Tua/Pengasuh Laki-laki yang Mengikuti Konseling Gizi Bulanan Anak</t>
  </si>
  <si>
    <t>Jlh_Indikatr_Bumil</t>
  </si>
  <si>
    <t>Jlh_Indikatr_Bumil_Seharusnya</t>
  </si>
  <si>
    <t>Tingkat_Konvergensi_Bumil</t>
  </si>
  <si>
    <t>e. Jumlah Orang Tua/Pengasuh Perempuan yang Mengikuti Konseling Gizi Bulanan Anak</t>
  </si>
  <si>
    <t>f. Jumlah Kunjungan Rumah Bagi Anak Gizi Buruk</t>
  </si>
  <si>
    <t>g. Jumlah Kunjungan Rumah Bagi Anak Gizi Kurang</t>
  </si>
  <si>
    <t>h. Jumlah Kunjungan Rumah Bagi Anak Stunting</t>
  </si>
  <si>
    <t>k. Jumlah Anak Usia 0-2 Tahun yang Memiliki Jaminan Kesehatan</t>
  </si>
  <si>
    <t>l. Jumlah Anak Usia 0-2 Tahun yang Memiliki Akta Kelahiran</t>
  </si>
  <si>
    <t>m. Jumlah Orang Tua/Pengasuh yang Mengikuti Parenting Bulanan (PAUD)</t>
  </si>
  <si>
    <t>Anak_Imunisasi</t>
  </si>
  <si>
    <t>Anak_Timbang_Rutin</t>
  </si>
  <si>
    <t>Anak_Ukur_Panjang</t>
  </si>
  <si>
    <t>Pengasuh_Laki</t>
  </si>
  <si>
    <t>Pengasuh_Pr</t>
  </si>
  <si>
    <t>Jlh_Kunjungan_Gizi_Brk</t>
  </si>
  <si>
    <t>Jlh_Kunjungan_Gizi_Krg</t>
  </si>
  <si>
    <t>Jlh_Kunjungan_Ank_Stunting</t>
  </si>
  <si>
    <t>Jlh_Anak_JamKes</t>
  </si>
  <si>
    <t>Jlh_Anak_Punya_Akta_Lahir</t>
  </si>
  <si>
    <t>Jlh_Pengasuh_Ikut_Parenting</t>
  </si>
  <si>
    <t>Konvergensi_Anak</t>
  </si>
  <si>
    <t>a. Jumlah Anak Usia &gt; 2-6 Tahun</t>
  </si>
  <si>
    <t>b. Jumlah Anak Usia &gt; 2-6 Tahun yang Aktif Dalam Kegiatan PAUD</t>
  </si>
  <si>
    <t>Jlh_Anak_2-6Tahun</t>
  </si>
  <si>
    <t>Jlh_Anak_2-6Tahun_Aktif_Paud</t>
  </si>
  <si>
    <t>RT 1.000 HPK</t>
  </si>
  <si>
    <t>RT</t>
  </si>
  <si>
    <t>Indikator</t>
  </si>
  <si>
    <t>Persen</t>
  </si>
  <si>
    <t>c. Jumlah kelompok kegiatan olahraga</t>
  </si>
  <si>
    <t>b. Jumlah kejadian Konflik antarkelompok masyarakat</t>
  </si>
  <si>
    <t>c. Jumlah kejadian Konflik kelompok masyarakat antar Desa</t>
  </si>
  <si>
    <t>d. Jumlah kejadian Konflik antara kelompok masyarakat dengan aparat keamanan</t>
  </si>
  <si>
    <t>e Jumlah kejadian Konflik antara kelompok masyarakat dengan aparat pemerintah</t>
  </si>
  <si>
    <t>f. Jumlah kejadian Konflik antarpelajar/ mahasiswa/pemuda</t>
  </si>
  <si>
    <t>g. Jumlah kejadian Konflik antarsuku</t>
  </si>
  <si>
    <t>h. Jumlah kejadian Konflik antaragama</t>
  </si>
  <si>
    <t>i. Jumlah kejadian Konflik lainnya</t>
  </si>
  <si>
    <t>b. Peranan aparat keamanan menjadi mediator / penengah dalam penyelesaian Konflik massal</t>
  </si>
  <si>
    <t>c. Peranan aparat pemerintah menjadi mediator / penengah dalam penyelesaian Konflik massal</t>
  </si>
  <si>
    <t>d. Peranan tokoh masyarakat menjadi mediator / penengah dalam penyelesaian Konflik massal</t>
  </si>
  <si>
    <t>e. Peranan tokoh agama menjadi mediator / penengah dalam penyelesaian Konflik massal</t>
  </si>
  <si>
    <t>f. Peranan tokoh lainnya menjadi mediator / penengah dalam penyelesaian Konflik massal</t>
  </si>
  <si>
    <t>g. Tidak ada yang menjadi mediator / penengah upaya dalam penyelesaian Konflik massal</t>
  </si>
  <si>
    <t>XL Axiata</t>
  </si>
  <si>
    <t>Perubahan (meningkat/menurun) produk komoditi pertanian</t>
  </si>
  <si>
    <t>b. Perubahan (meningkat/menurun) produksi hasil tangkapan laut</t>
  </si>
  <si>
    <t>Terdapat Bank Umum Pemerintah di Desa</t>
  </si>
  <si>
    <t>Jarak_Bank_Pemr_Tdekat</t>
  </si>
  <si>
    <t>Jarak_Bank_Swasta_Tdekat</t>
  </si>
  <si>
    <t>Terdapat Bank Swasta di Desa</t>
  </si>
  <si>
    <t>a. Terdapat Fasilitas Kredit Berupa KUR</t>
  </si>
  <si>
    <t xml:space="preserve">b. Terdapat Fasilitas Kredit Berupa KKP-E </t>
  </si>
  <si>
    <t xml:space="preserve">c. Terdapat Fasilitas Kredit Berupa KUK </t>
  </si>
  <si>
    <t>d. Terdapat Fasilitas Kredit Lainnya</t>
  </si>
  <si>
    <t>Angkutan Umum di Desa</t>
  </si>
  <si>
    <t>Angkutan Umum Utama di Desa Beroperasi Setiap Hari</t>
  </si>
  <si>
    <t>Jam Operasional Angkutan Umum Utama</t>
  </si>
  <si>
    <t>Jalan di Desa Dapat Dilalui Kendaraan Bermotor Roda Empat</t>
  </si>
  <si>
    <t>Jenis Permukaan Jalan di Desa yang Terluas</t>
  </si>
  <si>
    <t>Kualitas Permukaan Jalan di Desa</t>
  </si>
  <si>
    <t>Ketersediaan Sumber Air di Desa</t>
  </si>
  <si>
    <t>a. Frekuensi Kejadian Bencana Tanah Longsor</t>
  </si>
  <si>
    <t>b. Frekuensi Kejadian Bencana Banjir</t>
  </si>
  <si>
    <t>c. Frekuensi Kejadian Bencana Gempa Bumi</t>
  </si>
  <si>
    <t>d. Frekuensi Kejadian Bencana Tsunami</t>
  </si>
  <si>
    <t>e. Frekuensi Kejadian Bencana Gelombang Pasang Laut</t>
  </si>
  <si>
    <t>f. Frekuensi Kejadian Bencana Angin Puyuh / Puting Beliung / Topan</t>
  </si>
  <si>
    <t>g. Frekuensi Kejadian Bencana Gunung Meletus</t>
  </si>
  <si>
    <t>h. Frekuensi Kejadian Bencana Kebakaran Hutan</t>
  </si>
  <si>
    <t>i. Frekuensi Kejadian Bencana Kekeringan Lahan</t>
  </si>
  <si>
    <t>j. Frekuensi Kejadian Bencana Lainnya</t>
  </si>
  <si>
    <t>a. Terdapat Fasilitas Mitigasi Bencana Alam di Desa Berupa  Peringatan Dini Bencana</t>
  </si>
  <si>
    <t>b. Terdapat Fasilitas Mitigasi Bencana Alam di Desa Berupa Sistem Peringatan Dini Khusus Tsunami</t>
  </si>
  <si>
    <t>c. Terdapat Fasilitas Mitigasi Bencana Alam di Desa Berupa Perlengkapan Keselamatan</t>
  </si>
  <si>
    <t>d. Terdapat Fasilitas Mitigasi Bencana Alam di Desa Berupa Jalur Evakuasi</t>
  </si>
  <si>
    <t>KPMD_aktif</t>
  </si>
  <si>
    <t>b. Jumlah anggota KPMD(Kader Pembangunan Masyarakat Desa) (Kader Posyandu/ Kader Kesehatan) yang Aktif</t>
  </si>
  <si>
    <t>a. Ketersediaan kebun gizi di Desa yang dimanfaatkan Masyarakat</t>
  </si>
  <si>
    <t>PAD_2019</t>
  </si>
  <si>
    <t>DD_2019</t>
  </si>
  <si>
    <t>Pajak_dan_Retribusi_2019</t>
  </si>
  <si>
    <t>Al_DD_2019</t>
  </si>
  <si>
    <t>Bantuan_Prov_2019</t>
  </si>
  <si>
    <t>Bantuan_Kab/Kot_2019</t>
  </si>
  <si>
    <t>Penyebaran Informasi APBDes disebarkan ke Masyarakat</t>
  </si>
  <si>
    <t>Lainnya_2019</t>
  </si>
  <si>
    <t>a. Total Bidang Penyelenggaraan Pemerintah Tahun 2019</t>
  </si>
  <si>
    <t>a. Total Bidang Pelaksanaan Pembangunan Desa Tahun 2019</t>
  </si>
  <si>
    <t>b. Pendidikan Tahun 2019</t>
  </si>
  <si>
    <t>c. Kesehatan Tahun 2019</t>
  </si>
  <si>
    <t>a. Total Bidang Pembinaan Kemasyarakatan Desa Tahun 2019</t>
  </si>
  <si>
    <t>b. Ketentraman, Ketertiban dan Perlindungan Masyarakat Tahun 2019</t>
  </si>
  <si>
    <t>c. Kebudayaan dan Keagamaan Tahun 2019</t>
  </si>
  <si>
    <t>d. Kepemudaan dan Olah Raga Tahun 2019</t>
  </si>
  <si>
    <t>e. Kelembagaan Mayarakat Tahun 2019</t>
  </si>
  <si>
    <t>a. Total Bidang Pemberdayaan Masyarakat Desa Tahun 2019</t>
  </si>
  <si>
    <t>b. Kelautan dan Perikanan Tahun 2019</t>
  </si>
  <si>
    <t>c. Pertanian dan Peternakan Tahun 2019</t>
  </si>
  <si>
    <t>d. Peningkatan Kapasitas Aparatur Desa Tahun 2019</t>
  </si>
  <si>
    <t>a. Total Bidang Penanggulangan Bencana, Keadaan Mendesak dan Darurat Desa Tahun 2019</t>
  </si>
  <si>
    <t>b. Penanggulangan Bencana Tahun 2019</t>
  </si>
  <si>
    <t>c. Keadaan Darurat Tahun 2019</t>
  </si>
  <si>
    <t>Penyelnggra_Pemrth_2019</t>
  </si>
  <si>
    <t>Penyelnggra_Blnj_Pghsln_ttp_2019</t>
  </si>
  <si>
    <t>Sarpras_Pemrth_Desa_2019</t>
  </si>
  <si>
    <t>Admin_Kependudukn_2019</t>
  </si>
  <si>
    <t>Tata_Praja_Pmrth_2019</t>
  </si>
  <si>
    <t>Pembangunan Desa_2019</t>
  </si>
  <si>
    <t>Pendidikan_2019</t>
  </si>
  <si>
    <t>Kesehatan_2019</t>
  </si>
  <si>
    <t>Kwsn_Pmukiman_2019</t>
  </si>
  <si>
    <t>Lingk_Hidup_2019</t>
  </si>
  <si>
    <t>Perhubungan_2019</t>
  </si>
  <si>
    <t>ESDM_2019</t>
  </si>
  <si>
    <t>Pariwisata_2019</t>
  </si>
  <si>
    <t>Pembinaan_Kmasyrkt_Desa_2019</t>
  </si>
  <si>
    <t>Ketentrmn_Ktertbibn_Plindgn_Masyrkt_2019</t>
  </si>
  <si>
    <t>Kbdyaan_Kagamaan_2019</t>
  </si>
  <si>
    <t>Kpemudaan_Olhrga_2019</t>
  </si>
  <si>
    <t>Klmbagaan_Masyrkrt_2019</t>
  </si>
  <si>
    <t>Pbrdayaan_Masyrkt_2019</t>
  </si>
  <si>
    <t>Klautn_PerIkanan_2019</t>
  </si>
  <si>
    <t>Ptanian_Pternakn_2019</t>
  </si>
  <si>
    <t>Pningkatn_Kpstas_Apartr_Desa_2019</t>
  </si>
  <si>
    <t>Pbrdayaan_Prempuan_2019</t>
  </si>
  <si>
    <t>Koperasi_2019</t>
  </si>
  <si>
    <t>Dukgn_Pnanamn_Modal_2019</t>
  </si>
  <si>
    <t>Pdagangan_Industri_2019</t>
  </si>
  <si>
    <t>Pnaggln_Bcna_Mdsak_Darurat_2019</t>
  </si>
  <si>
    <t>Panganggulangan_Bencana_2019</t>
  </si>
  <si>
    <t>Keadaan_Darurat_2019</t>
  </si>
  <si>
    <t>Keadaan_Mdesak_2019</t>
  </si>
  <si>
    <t>LUAS WILAYAH</t>
  </si>
  <si>
    <t>a. Jumlah warga yang terdaftar menjadi peserta BPJS Kesehatan/ Jaminan Kesehatan Nasional/ Kartu Indonesia Sehat (KIS)</t>
  </si>
  <si>
    <t>Terdapat Kegiatan Pemberatasan Buta Aksara</t>
  </si>
  <si>
    <t>Skor Ketersediaan Taman Baca/ Perpus Desa</t>
  </si>
  <si>
    <t>a1. Jumlah Fasilitas/ Lapangan Sepak Bola</t>
  </si>
  <si>
    <t>a2. Jumlah Fasilitas/ Lapangan Futsal</t>
  </si>
  <si>
    <t>a3. Jumlah Fasilitas/ Lapangan Tenis</t>
  </si>
  <si>
    <t>a4. Jumlah Fasilitas/ Lapangan Bulu Tangkis</t>
  </si>
  <si>
    <t>a5. Jumlah Fasilitas/ Lapangan Basket</t>
  </si>
  <si>
    <t>a6. Jumlah Fasilitas/ Lapangan Lainnya</t>
  </si>
  <si>
    <t>Jumlah Bahasa yang digunakan Warga Desa untuk Komunikasi Sehari-hari di Desa</t>
  </si>
  <si>
    <t>Terdapat kegiatan pembangunan dan pemeliharaan pos keamanan lingkungan (Poskamling) oleh warga</t>
  </si>
  <si>
    <t>Inisiatif dan partisipasi warga dalam pengaktifan sistem keamanan lingkungan (Siskamling)</t>
  </si>
  <si>
    <t>h. Terdapat Penyandang Masalah Kesejahteraan Sosial (PMKS) PSK</t>
  </si>
  <si>
    <t>a. Terdapat Penyandang Masalah Kesejahteraan Sosial (PMKS) Anak Jalanan</t>
  </si>
  <si>
    <t>b. Terdapat Penyandang Masalah Kesejahteraan Sosial (PMKS) Anak Terlantar</t>
  </si>
  <si>
    <t>c. Terdapat Penyandang Masalah Kesejahteraan sosial (PMKS) Korban Kekerasan</t>
  </si>
  <si>
    <t>d. Terdapat Penyandang Masalah Kesejahteraan Sosial (PMKS) Lanjut Usia Terlantar</t>
  </si>
  <si>
    <t>e. Terdapat Penyandang Masalah Kesejahteraan Sosial (PMKS) Korban Penyalahgunaan NAPZA</t>
  </si>
  <si>
    <t>f. Terdapat Penyandang Masalah Kesejahteraan Sosial (PMKS) Pekerja Migran Terlantar</t>
  </si>
  <si>
    <t>g. Terdapat Penyandang Masalah Kesejahteraan Sosial (PMKS) Gelandangan / Pengemis</t>
  </si>
  <si>
    <t>Skor Internet Kantor Desa</t>
  </si>
  <si>
    <t>JML IKL 2019</t>
  </si>
  <si>
    <t>IKL 2019</t>
  </si>
  <si>
    <t>IDM 2019</t>
  </si>
  <si>
    <t>STATUS IDM 2019</t>
  </si>
  <si>
    <t>TOTAL IKE 2019</t>
  </si>
  <si>
    <t>IKE 2019</t>
  </si>
  <si>
    <t>TOTAL IKS 2019</t>
  </si>
  <si>
    <t>IKS 2019</t>
  </si>
  <si>
    <t>INPUT</t>
  </si>
  <si>
    <t>SATUAN</t>
  </si>
  <si>
    <t>OUTPUT</t>
  </si>
  <si>
    <t>Jml_Lap_Sepak_Bola</t>
  </si>
  <si>
    <t>Jml_Lap_Futsal</t>
  </si>
  <si>
    <t>Jml_Lap_Tenis</t>
  </si>
  <si>
    <t>Jml_Lap_Bulu_Tangkis</t>
  </si>
  <si>
    <t>Jml_Lap_Basket</t>
  </si>
  <si>
    <t>Jml_Lap_Lainnya</t>
  </si>
  <si>
    <t>PENDUDUK</t>
  </si>
  <si>
    <t>b. Kepala Urusan Tata Usaha dan Umum</t>
  </si>
  <si>
    <t>c. Kepala Urusan Keuangan</t>
  </si>
  <si>
    <t>d. Kepala Urusan Perencanaan</t>
  </si>
  <si>
    <t>Buta_Aksara</t>
  </si>
  <si>
    <t>Jumlah_Kel_OR</t>
  </si>
  <si>
    <t>a1. Nama BUMDesa</t>
  </si>
  <si>
    <t>Nama_Bumdes</t>
  </si>
  <si>
    <t>Waktu_PAUD</t>
  </si>
  <si>
    <t>Akses Ke Pendidikan Non-Formal Usia 3-5 tahun</t>
  </si>
  <si>
    <t>b. Jarak ke Rumah Sakit terdekat</t>
  </si>
  <si>
    <t xml:space="preserve">c. Waktu tempuh untuk menuju ke Rumah Sakit terdekat </t>
  </si>
  <si>
    <t>b. Jarak ke Rumah Sakit bersalin terdekat</t>
  </si>
  <si>
    <t xml:space="preserve">c. Waktu tempuh untuk menuju ke Rumah Sakit bersalin terdekat </t>
  </si>
  <si>
    <t>b. Jarak ke Poliklinik/Balai Pengobatan terdekat</t>
  </si>
  <si>
    <t xml:space="preserve">c. Waktu tempuh untuk menuju ke Poliklinik/Balai Pengobatan terdekat </t>
  </si>
  <si>
    <t>b. Jarak ke Tempat Praktek Dokter terdekat</t>
  </si>
  <si>
    <t xml:space="preserve">c. Waktu tempuh untuk menuju ke Tempat Praktek Dokter terdekat </t>
  </si>
  <si>
    <t>b. Jarak ke Tempat Praktek Bidan terdekat</t>
  </si>
  <si>
    <t xml:space="preserve">c. Waktu tempuh untuk menuju ke Tempat Praktek Bidan terdekat </t>
  </si>
  <si>
    <t>b. Jarak ke Apotek terdekat</t>
  </si>
  <si>
    <t xml:space="preserve">c. Waktu tempuh untuk menuju ke Apotek terdekat </t>
  </si>
  <si>
    <t>Rumah Sakit</t>
  </si>
  <si>
    <t>Rumah Sakit Bersalin</t>
  </si>
  <si>
    <t>Poliklinik/Balai Pengobatan</t>
  </si>
  <si>
    <t>Tempat Praktek Dokter</t>
  </si>
  <si>
    <t>Tempat Praktek Bidan</t>
  </si>
  <si>
    <t>Apotik</t>
  </si>
  <si>
    <t>Jarak_RS</t>
  </si>
  <si>
    <t>Menit_RS</t>
  </si>
  <si>
    <t>RS Bersalin_terdekat</t>
  </si>
  <si>
    <t>Jarak_RSBersalin</t>
  </si>
  <si>
    <t>Menit_RSBersalin</t>
  </si>
  <si>
    <t>RS_terdekat</t>
  </si>
  <si>
    <t>Polikklinik/BP_terdekat</t>
  </si>
  <si>
    <t>Jarak_Polikklinik/BP</t>
  </si>
  <si>
    <t>Menit_Polikklinik/BP</t>
  </si>
  <si>
    <t>Praktek Dokter_terdekat</t>
  </si>
  <si>
    <t>Jarak_Praktek Dokter</t>
  </si>
  <si>
    <t>Menit_Praktek Dokter</t>
  </si>
  <si>
    <t>Bidan_terdekat</t>
  </si>
  <si>
    <t>Jarak_Bidan</t>
  </si>
  <si>
    <t>Menit_Bidan</t>
  </si>
  <si>
    <t>Apotik_terdekat</t>
  </si>
  <si>
    <t>Jarak_Apotik</t>
  </si>
  <si>
    <t>Menit_Apotik</t>
  </si>
  <si>
    <t>Gedung Kantor Desa</t>
  </si>
  <si>
    <t>Batas desa dalam bentuk peta yang telah ditetapkan oleh Bupati/Walikota</t>
  </si>
  <si>
    <t>b. Jarak ke Puskesmas dengan rawat inap terdekat</t>
  </si>
  <si>
    <t xml:space="preserve">c. Waktu tempuh untuk menuju ke Puskesmas dengan rawat inap terdekat </t>
  </si>
  <si>
    <t>b. Jarak ke Puskesmas tanpa rawat inap terdekat</t>
  </si>
  <si>
    <t xml:space="preserve">c. Waktu tempuh untuk menuju ke Puskesmas tanpa rawat inap terdekat </t>
  </si>
  <si>
    <t>b. Jarak ke Puskesmas Pembantu terdekat</t>
  </si>
  <si>
    <t xml:space="preserve">c. Waktu tempuh untuk menuju ke Puskesmas Pembantu terdekat </t>
  </si>
  <si>
    <t>b. Jarak ke Rumah bersalin terdekat</t>
  </si>
  <si>
    <t xml:space="preserve">c. Waktu tempuh untuk menuju ke Rumah bersalin terdekat </t>
  </si>
  <si>
    <t>Puskesmas Rawat inap</t>
  </si>
  <si>
    <t>Puskesmas Tanpa Rawat Inap</t>
  </si>
  <si>
    <t>Rumah Bersalin</t>
  </si>
  <si>
    <t>Puskes-Inap_terdekat</t>
  </si>
  <si>
    <t>Jarak_Puskes-Inap</t>
  </si>
  <si>
    <t>Menit_Puskes-Inap</t>
  </si>
  <si>
    <t>Puskes-Non Inap_terdekat</t>
  </si>
  <si>
    <t>Jarak_Puskes-Non Inap</t>
  </si>
  <si>
    <t>Menit_Puskes-Non Inap</t>
  </si>
  <si>
    <t>Puskesmas Pembantu</t>
  </si>
  <si>
    <t>Pustu_terdekat</t>
  </si>
  <si>
    <t>Jarak_Pustu</t>
  </si>
  <si>
    <t>Menit_Pustu</t>
  </si>
  <si>
    <t>Jarak Kantor Desa Ke kantor Camat</t>
  </si>
  <si>
    <t>Jarak Kantor Desa Ke kantor Bupati/Walikota</t>
  </si>
  <si>
    <t>a. Ketersediaan sarana Rumah Sakit Bersalin di Desa</t>
  </si>
  <si>
    <t>a. Ketersediaan sarana Rumah Sakit di Desa</t>
  </si>
  <si>
    <t>a. Ketersediaan sarana Puskesmas dengan rawat inap di Desa</t>
  </si>
  <si>
    <t>a. Ketersediaan sarana Puskesmas tanpa rawat inap di Desa</t>
  </si>
  <si>
    <t>a. Ketersediaan sarana Puskesmas Pembantu di Desa</t>
  </si>
  <si>
    <t>a. Ketersediaan sarana Rumah Bersalin di Desa</t>
  </si>
  <si>
    <t>a. Ketersediaan sarana Poliklinik/Balai Pengobatan di Desa</t>
  </si>
  <si>
    <t>a. Ketersediaan sarana Tempat Praktek Dokter di Desa</t>
  </si>
  <si>
    <t>a. Ketersediaan sarana Tempat Praktek Bidan di Desa</t>
  </si>
  <si>
    <t>a. Ketersediaan sarana Apotek di Desa</t>
  </si>
  <si>
    <t>Total Biaya Transportasi Dari Kantor Desa Ke Kantor Camat</t>
  </si>
  <si>
    <t>Total Biaya Transportasi Dari Kantor Desa Ke Kantor Bupati/Walikota</t>
  </si>
  <si>
    <t>Terdapat_PJU</t>
  </si>
  <si>
    <t>Terdapat Agen Penjual LPG/Minyak Tanah/</t>
  </si>
  <si>
    <t>Terdapat Masyarakat yang memanfaatkan Biogas</t>
  </si>
  <si>
    <t>Biogas</t>
  </si>
  <si>
    <t>Agen_LPG/Mita</t>
  </si>
  <si>
    <t>BB_Masak</t>
  </si>
  <si>
    <t>Bahan bakar Masak Lainnya</t>
  </si>
  <si>
    <t>BB_ Lainnya</t>
  </si>
  <si>
    <t>Mayoritas Bahan Bakar Memasak untuk kebutuhan keluarga</t>
  </si>
  <si>
    <t>Peta_Desa</t>
  </si>
  <si>
    <t>a</t>
  </si>
  <si>
    <t>a. Total fasilitas / lapangan olah raga di Desa</t>
  </si>
  <si>
    <t>Total_Lap</t>
  </si>
  <si>
    <t>a6. Sebutkan Fasilitas/ Lapangan Lainnya</t>
  </si>
  <si>
    <t>Lap_Lainnya</t>
  </si>
  <si>
    <t>f. Warga yang menganut agama Kong Hu Cu</t>
  </si>
  <si>
    <t>a. Terdapat Masjid di Desa</t>
  </si>
  <si>
    <t>b. Terdapat Gereja Kristen di Desa</t>
  </si>
  <si>
    <t>c. Terdapat Gereja Katolik di Desa</t>
  </si>
  <si>
    <t>d. Terdapat Wihara di Desa</t>
  </si>
  <si>
    <t>e. Terdapat Pura di Desa</t>
  </si>
  <si>
    <t>f. Terdapat Litang / Kelenteng</t>
  </si>
  <si>
    <t>a. Informasi Desa ada di Papan informasi</t>
  </si>
  <si>
    <t>b. Informasi Desa Website</t>
  </si>
  <si>
    <t>c. Sarana informasi Lainnya</t>
  </si>
  <si>
    <t>Bumdes_Bersama</t>
  </si>
  <si>
    <t>Nama_Bumdes_Bersama</t>
  </si>
  <si>
    <t>Terdapat perencanaan tata ruang Desa</t>
  </si>
  <si>
    <t>VIII ASET/ KEKAYAAN DESA</t>
  </si>
  <si>
    <t>Tanah_kasDesa</t>
  </si>
  <si>
    <t>Bangunan_bangunanKantor</t>
  </si>
  <si>
    <t>Bangunan_bangunanBalai</t>
  </si>
  <si>
    <t>Bangunan_desaLainnya</t>
  </si>
  <si>
    <t>Pasar_terdapatPasar</t>
  </si>
  <si>
    <t>Pasar_pasarPelelangan</t>
  </si>
  <si>
    <t>Pasar_pelelanganHasil</t>
  </si>
  <si>
    <t>Pasar_desaLainnya</t>
  </si>
  <si>
    <t>Aset_desaLainnya</t>
  </si>
  <si>
    <t>IX TOTAL BELANJA APBDes</t>
  </si>
  <si>
    <t>b</t>
  </si>
  <si>
    <t>a. Terdapat Tanah Kas Desa/ Ulayat</t>
  </si>
  <si>
    <t>b. Terdapat Bangunan Kantor Desa</t>
  </si>
  <si>
    <t>c. Terdapat Bangunan Balai Desa</t>
  </si>
  <si>
    <t>d. Terdapat Bangunan Desa Lainnya (sebutkan)</t>
  </si>
  <si>
    <t xml:space="preserve">e. Terdapat Pasar Hewan </t>
  </si>
  <si>
    <t>f. Terdapat Pasar Pelelangan Ikan</t>
  </si>
  <si>
    <t>g. Terdapat Pasar Pelelangan Hasil Pertanian</t>
  </si>
  <si>
    <t>h. Terdapat Pasar Desa Lainnya (sebutkan)</t>
  </si>
  <si>
    <t>i. Terdapat Aset Desa Lainnya (sebutkan)</t>
  </si>
  <si>
    <t>X. JARAK, WAKTU DAN BIAYA DESA KE KECAMATAN DAN KABUPATEN</t>
  </si>
  <si>
    <t>Waktu Tempuh dari Kantor Desa Ke Kantor Camat</t>
  </si>
  <si>
    <t>Waktu Tempuh Kantor Desa Ke Kantor Bupati/Walikota</t>
  </si>
  <si>
    <t>Biaya_KtrDesa_KtrCamat</t>
  </si>
  <si>
    <t>Ktr_KtrDesa_KtrCamat</t>
  </si>
  <si>
    <t>Wkt_KtrDesa_KtrCamat</t>
  </si>
  <si>
    <t>Jrk_KtrDesa_KtrBupati/Walikota</t>
  </si>
  <si>
    <t>Wkt_KtrDesa_KtrBupati/Walikota</t>
  </si>
  <si>
    <t>Biaya_KtrDesa_KtrBupati/Walikota</t>
  </si>
  <si>
    <t>Terdapat Kelompok Olahraga</t>
  </si>
  <si>
    <t>LU/LS</t>
  </si>
  <si>
    <t>BB/BT</t>
  </si>
  <si>
    <t>c. Buruh Tani/Buruh Nelayan</t>
  </si>
  <si>
    <t>d. Buruh Pabrik</t>
  </si>
  <si>
    <t>f. Pegawai Swasta</t>
  </si>
  <si>
    <t>Jumlah warga penyandang kebutuhan khusus</t>
  </si>
  <si>
    <t>j. Dokter (Swasta/ Honorer)</t>
  </si>
  <si>
    <t>k. Bidan (Swasta/ Honorer)</t>
  </si>
  <si>
    <t>l. Perawat (Swasta/ Honorer)</t>
  </si>
  <si>
    <t>e. Sumber Dana Pembiayaan Kegiatan Posyandu</t>
  </si>
  <si>
    <t>m. Ketua RW</t>
  </si>
  <si>
    <t>Terdapat Kantor Desa</t>
  </si>
  <si>
    <t>Terdapat pelayanan jasa ekspedisi di Desa</t>
  </si>
  <si>
    <t>INDEKS KOMPOSIT</t>
  </si>
  <si>
    <t>PERANGKAT INDIKATOR</t>
  </si>
  <si>
    <t>INDIKATOR
(ITEM)</t>
  </si>
  <si>
    <t>STATUS DESA</t>
  </si>
  <si>
    <t>POTENSI DAN TANGGAP BENCANA</t>
  </si>
  <si>
    <t>b. Penyelenggaraan Belanja Penghasilan Tetap, Tunjangan dan Operasional Pemerintah Desa Tahun 2019</t>
  </si>
  <si>
    <t>c. Sarana dan Prasarana Pemerintah Desa Tahun 2019</t>
  </si>
  <si>
    <t>d. Adminsitrasi Kependudukan, Pencatatan Sipil, Statistik dan Kearsipan Tahun 2019</t>
  </si>
  <si>
    <t>e. Tata Praja Pemerintah, Perencanaan, Keuangan, Pelaporan Tahun 2019</t>
  </si>
  <si>
    <t>f. Belanja Pertanahan Tahun 2019</t>
  </si>
  <si>
    <t>Pertanahan_2019</t>
  </si>
  <si>
    <t>d. Pekerjaan Umum dan Penataan Ruang Tahun 2019</t>
  </si>
  <si>
    <t>PU&amp;tataruang_2019</t>
  </si>
  <si>
    <t>e. Kawasan Pemukiman Tahun 2019</t>
  </si>
  <si>
    <t>f. Kehutanan dan Lingkungan Hidup Tahun 2019</t>
  </si>
  <si>
    <t>g. Perhubungan Komunikasi dan Informatika Tahun 2019</t>
  </si>
  <si>
    <t>h. Energi dan Sumber Daya Mineral Tahun 2019</t>
  </si>
  <si>
    <t>i. Pariwisata Tahun 2019</t>
  </si>
  <si>
    <t>e. Pemberdayaan Perempuan, Perlindungan Anak dan Keluarga Tahun 2019</t>
  </si>
  <si>
    <t>f. Koperasi Usaha Mikro Kecil dan Menengah Tahun 2019</t>
  </si>
  <si>
    <t>g. Dukungan Penanaman Modal Tahun 2019</t>
  </si>
  <si>
    <t>h. Perdagangan dan Industri Tahun 2019</t>
  </si>
  <si>
    <t>d. Keadaan Mendesak Tahun 2019</t>
  </si>
  <si>
    <t>Akun Facebook Desa</t>
  </si>
  <si>
    <t>Akun Instagram Desa</t>
  </si>
  <si>
    <t>Akun Twitter Desa</t>
  </si>
  <si>
    <t>Alamat Web Desa</t>
  </si>
  <si>
    <t>Alamat Email Desa</t>
  </si>
  <si>
    <t>Fb_Desa</t>
  </si>
  <si>
    <t>Ig_Desa</t>
  </si>
  <si>
    <t>Twitter_Desa</t>
  </si>
  <si>
    <t>Alamat_Web_Desa</t>
  </si>
  <si>
    <t>NILAI
INDIKATOR
(ITEM)</t>
  </si>
  <si>
    <t>NILAI
PERANGKAT INDIKATOR</t>
  </si>
  <si>
    <t>NILAI 
DIMENSI</t>
  </si>
  <si>
    <t>NILAI
INDEKS KOMPOSIT</t>
  </si>
  <si>
    <t>a. Nama Plt/ Kepala Desa</t>
  </si>
  <si>
    <t>Plt/Kades</t>
  </si>
  <si>
    <t>b. Jenis Kelamin Plt/ Kepala Desa</t>
  </si>
  <si>
    <t>JK_Plt/Kades</t>
  </si>
  <si>
    <t>No. Telepon Rumah / Hp Plt/Kepala Desa</t>
  </si>
  <si>
    <t>Tel_Plt/Kades</t>
  </si>
  <si>
    <t>Pendidikan Terakhir Plt/ Kepala Desa</t>
  </si>
  <si>
    <t>Pend_Plt/Kades</t>
  </si>
  <si>
    <t>Lama_Masa_Plt/Kades</t>
  </si>
  <si>
    <t>Pendidikan Terakhir Plt/ Sekretaris Desa</t>
  </si>
  <si>
    <t>Lama Masa Jabatan sebagai Plt/ Kepala Desa</t>
  </si>
  <si>
    <t>Pend_Plt/Sekdes</t>
  </si>
  <si>
    <t>Lama Masa Jabatan sebagai Plt/ Sekretaris Desa</t>
  </si>
  <si>
    <t>Lama_Masa_Plt/Sekdes</t>
  </si>
  <si>
    <t>Tingkat Kepesertaan BPJS/ JKN/ KIS</t>
  </si>
  <si>
    <t>Warga_BPJS/JKN/KIS</t>
  </si>
  <si>
    <t>Pemanfaatan_BPJS/JKN/KIS</t>
  </si>
  <si>
    <t>b. Warga Desa memanfaatkan pelayanan BPJS/JKN/KIS</t>
  </si>
  <si>
    <t>Omset_Bumdes</t>
  </si>
  <si>
    <t>Omset_Bumdes_Bersama</t>
  </si>
  <si>
    <t>Sasaran 1.000 Hari Pertama Kehidupan (HPK) (Ibu hamil dan anak 0-23 bulan)</t>
  </si>
  <si>
    <t>Kelengkapan Konvergensi Paket Layanan Pencegahan Stunting bagi 1.000 HPK</t>
  </si>
  <si>
    <t>:</t>
  </si>
  <si>
    <t>EXISTING DARI INDIKATOR UMUM</t>
  </si>
  <si>
    <t>KEWENANGAN</t>
  </si>
  <si>
    <t>Jarak ke sarana kesehatan terdekat</t>
  </si>
  <si>
    <t>Dinkes/ PUPR</t>
  </si>
  <si>
    <t>Dinkes</t>
  </si>
  <si>
    <t>Desa/ Dinkes</t>
  </si>
  <si>
    <t>Desa/ Dinsos PMD</t>
  </si>
  <si>
    <t>Disdik</t>
  </si>
  <si>
    <t>Disdik Provinsi</t>
  </si>
  <si>
    <t>Desa/ Disdik</t>
  </si>
  <si>
    <t>Desa/ Disdik/ Disnakertrans</t>
  </si>
  <si>
    <t>Desa/ Disdik/ Arpusda</t>
  </si>
  <si>
    <t>Desa/ Diskominfo</t>
  </si>
  <si>
    <t>Desa/ Disporapar</t>
  </si>
  <si>
    <t>Desa/ Kemenag</t>
  </si>
  <si>
    <t>Desa/ Kesbangpolinmas</t>
  </si>
  <si>
    <t>POLRI</t>
  </si>
  <si>
    <t>Dinsos PMD</t>
  </si>
  <si>
    <t>Desa/ Perkim LH/ Dinkes</t>
  </si>
  <si>
    <t>Desa/ PLN</t>
  </si>
  <si>
    <t>Desa Kumindag/ Dinsos PMD</t>
  </si>
  <si>
    <t>Desa/ Diskumindag/ PUPR</t>
  </si>
  <si>
    <t>Diskumindag/ Dinsos PMD</t>
  </si>
  <si>
    <t>Diskumindag/ Swasta</t>
  </si>
  <si>
    <t>Pemda/ Swasta</t>
  </si>
  <si>
    <t>Pemda/ Bank</t>
  </si>
  <si>
    <t>Penda/ BPN/ Bank</t>
  </si>
  <si>
    <t>Desa/ Diskumindag</t>
  </si>
  <si>
    <t>Desa/ Swasta</t>
  </si>
  <si>
    <t>Dinas Perhubungan/ Swasta</t>
  </si>
  <si>
    <t>Perkim LH/ PUPR/ Desa</t>
  </si>
  <si>
    <t>Desa/ BPBD/ PERKIM LH</t>
  </si>
  <si>
    <t>Desa/ BPBD/ PERKIM LH/ Dinsos PMD</t>
  </si>
  <si>
    <t>INDIKATOR PERITEM</t>
  </si>
  <si>
    <t>NILAI</t>
  </si>
  <si>
    <t>c. Jumlah anggota Tim  Perumusan RPJMDes) yang Aktif</t>
  </si>
  <si>
    <t>RPJMDes_aktif</t>
  </si>
  <si>
    <t xml:space="preserve">                                                                                 KECAMATAN</t>
  </si>
  <si>
    <t xml:space="preserve">                                                                                 DESA</t>
  </si>
  <si>
    <t xml:space="preserve">                                                                                 KABUPATEN</t>
  </si>
  <si>
    <t xml:space="preserve">                                                                                 PROVINSI</t>
  </si>
  <si>
    <t xml:space="preserve">                                                                                 STATUS IDM</t>
  </si>
  <si>
    <t xml:space="preserve">                                                                                 NILAI IDM</t>
  </si>
  <si>
    <t>LINGKUNGAN ( IKL )</t>
  </si>
  <si>
    <t>LAPORAN KONVERGENSI PENCEGAHAN STUNTING TINGKAT DESA</t>
  </si>
  <si>
    <t>TERHADAP SASARAN RUMAH TANGGA 1.000 HPK TAHUN 2019</t>
  </si>
  <si>
    <t>TABEL 1. JUMLAH SASARAN 1.000 HPK (IBU HAMIL DAN ANAK 0-23 TAHUN)</t>
  </si>
  <si>
    <t>SASARAN</t>
  </si>
  <si>
    <t>JUMLAH TOTAL
RUMAH TANGGA 1.000 HPK</t>
  </si>
  <si>
    <t>IBU HAMIL</t>
  </si>
  <si>
    <t>TOTAL</t>
  </si>
  <si>
    <t>KEK/ RESTI</t>
  </si>
  <si>
    <t>ANAK 0-23 BULAN</t>
  </si>
  <si>
    <r>
      <t xml:space="preserve">GIZI KURANG/ GIZI BURUK/ </t>
    </r>
    <r>
      <rPr>
        <i/>
        <sz val="11"/>
        <color theme="1"/>
        <rFont val="Calibri"/>
        <family val="2"/>
        <scheme val="minor"/>
      </rPr>
      <t>STUNTING</t>
    </r>
  </si>
  <si>
    <t>JUMLAH</t>
  </si>
  <si>
    <t>JUMLAH TOTAL
ANAK USIA 0-23 BULAN</t>
  </si>
  <si>
    <t>HIJAU
(NORMAL)</t>
  </si>
  <si>
    <r>
      <t xml:space="preserve">KUNING
(RESIKO </t>
    </r>
    <r>
      <rPr>
        <i/>
        <sz val="11"/>
        <color theme="1"/>
        <rFont val="Calibri"/>
        <family val="2"/>
        <scheme val="minor"/>
      </rPr>
      <t>STUNTING</t>
    </r>
    <r>
      <rPr>
        <sz val="11"/>
        <color theme="1"/>
        <rFont val="Calibri"/>
        <family val="2"/>
        <charset val="1"/>
        <scheme val="minor"/>
      </rPr>
      <t>)</t>
    </r>
  </si>
  <si>
    <r>
      <t xml:space="preserve">MERAH
(TERINDIKASI </t>
    </r>
    <r>
      <rPr>
        <i/>
        <sz val="11"/>
        <color theme="1"/>
        <rFont val="Calibri"/>
        <family val="2"/>
        <scheme val="minor"/>
      </rPr>
      <t>STUNTING</t>
    </r>
    <r>
      <rPr>
        <sz val="11"/>
        <color theme="1"/>
        <rFont val="Calibri"/>
        <family val="2"/>
        <charset val="1"/>
        <scheme val="minor"/>
      </rPr>
      <t>)</t>
    </r>
  </si>
  <si>
    <t>PERIKSA 4 KALI SELAMA KEHAMILAN</t>
  </si>
  <si>
    <t>MENDAPAT DAN MEMINUM PIL SE SELAMA 90 HARI</t>
  </si>
  <si>
    <t>IBU BERSALIN MENDAPAT LAYANAN PEMERIKSAAN NIFAS 3 KALI</t>
  </si>
  <si>
    <t>MENGIKUTI KONSELING GIZI/ KELAS IBU MINIMAL 4 KALI</t>
  </si>
  <si>
    <t>IBU HAMIL (KEK/ RESTI) MENDAPAT KUNJUNGAN RUMAH BULANAN</t>
  </si>
  <si>
    <t>RUMAH TANGGA IBU HAMIL MEMILIKI AKSES AIR MINUM AMAN</t>
  </si>
  <si>
    <t>RUMAH TANGGA IBU HAMIL MEMILIKI JAMBAN LAYAK</t>
  </si>
  <si>
    <t>MEMILIKI JAMINAN KESEHATAN</t>
  </si>
  <si>
    <t>INDIKATOR</t>
  </si>
  <si>
    <t>%</t>
  </si>
  <si>
    <t>ANAK USIA 0-23 BULAN
(0-2 TAHUN)</t>
  </si>
  <si>
    <t>ANAK USIA &lt;12 BULAN MENDAPAT IMUNISASI DASAR LENGKAP</t>
  </si>
  <si>
    <t>DITIMBANG BERAT BADAN RUTIN SETIAP BULAN</t>
  </si>
  <si>
    <t>DIUKUR PANJANG/ TINGGI BADAN 2 KALI DALAM SETAHUN</t>
  </si>
  <si>
    <t>ORANG TUA/ PENGASUH MENGIKUTI KONSELING GIZI BULANAN</t>
  </si>
  <si>
    <r>
      <t xml:space="preserve">KUNJUNGAN RUMAH BAGI ANAK GIZI BURUK/ KURANG/ </t>
    </r>
    <r>
      <rPr>
        <i/>
        <sz val="11"/>
        <color theme="1"/>
        <rFont val="Calibri"/>
        <family val="2"/>
        <scheme val="minor"/>
      </rPr>
      <t>STUNTING</t>
    </r>
  </si>
  <si>
    <t>RUMAH TANGGA ANAK 0-2 TH MEMILIKI AKSES AIR MINUM AMAN</t>
  </si>
  <si>
    <t>RUMAH TANGGA ANAK 0-2 TH MEMILIKI JAMBAN LAYAK</t>
  </si>
  <si>
    <t>ANAK 0-2 TH JAMINAN KESEHATAN</t>
  </si>
  <si>
    <t>ANAK 0-2 TH BULAN AKTA LAHIR</t>
  </si>
  <si>
    <t>ORANG TUA/ PENGASUH MENGIKUTI PARENTING BULANAN (PAUD)</t>
  </si>
  <si>
    <t xml:space="preserve">ANAK &gt;2-6 TAHUN </t>
  </si>
  <si>
    <t>ANAK &gt;2-6 TAHUN AKTIF DALAM KEGIATAN PAUD MINIMAL 80%</t>
  </si>
  <si>
    <t>TABEL 4. TINGKAT KONVERGENSI DESA</t>
  </si>
  <si>
    <t>JUMLAH INDIKATOR</t>
  </si>
  <si>
    <t>YANG DITERIMA</t>
  </si>
  <si>
    <t>SEHARUSNYA DITERIMA</t>
  </si>
  <si>
    <t>TINGKAT KONVERGENSI</t>
  </si>
  <si>
    <t>BIDANG/ KEGIATAN</t>
  </si>
  <si>
    <t>TOTAL ALOKASI DANA</t>
  </si>
  <si>
    <r>
      <t xml:space="preserve">KEGIATAN KHUSUS PENCEGAHAN </t>
    </r>
    <r>
      <rPr>
        <i/>
        <sz val="11"/>
        <color theme="1"/>
        <rFont val="Calibri"/>
        <family val="2"/>
        <scheme val="minor"/>
      </rPr>
      <t>STUNTING</t>
    </r>
  </si>
  <si>
    <t>BIDANG PEMBANGUNAN DESA</t>
  </si>
  <si>
    <t>BIDANG PEMBERDAYAAN MASYARAKAT</t>
  </si>
  <si>
    <t>ALOKASI DANA</t>
  </si>
  <si>
    <t>% (PERSEN)</t>
  </si>
  <si>
    <r>
      <t xml:space="preserve">TABEL 2. HASIL PENGUKURAN TIKAR PERTUMBUHAN (DETEKSI DINI </t>
    </r>
    <r>
      <rPr>
        <b/>
        <i/>
        <sz val="11"/>
        <color theme="1"/>
        <rFont val="Calibri"/>
        <family val="2"/>
        <scheme val="minor"/>
      </rPr>
      <t>STUNTING</t>
    </r>
    <r>
      <rPr>
        <b/>
        <sz val="11"/>
        <color theme="1"/>
        <rFont val="Calibri"/>
        <family val="2"/>
        <scheme val="minor"/>
      </rPr>
      <t>)</t>
    </r>
  </si>
  <si>
    <r>
      <t xml:space="preserve">TABEL 3. KELENGKAPAN KONVERGENSI PAKET LAYANAN PENCEGAHAN </t>
    </r>
    <r>
      <rPr>
        <b/>
        <i/>
        <sz val="11"/>
        <color theme="1"/>
        <rFont val="Calibri"/>
        <family val="2"/>
        <scheme val="minor"/>
      </rPr>
      <t xml:space="preserve">STUNTING </t>
    </r>
    <r>
      <rPr>
        <b/>
        <sz val="11"/>
        <color theme="1"/>
        <rFont val="Calibri"/>
        <family val="2"/>
        <scheme val="minor"/>
      </rPr>
      <t>BAGI 1.000 HPK</t>
    </r>
  </si>
  <si>
    <t>LAKI</t>
  </si>
  <si>
    <t>JML</t>
  </si>
  <si>
    <r>
      <t xml:space="preserve">TABEL 5. PENGGUNAAN DANA DESA DALAM PENCEGAHAN </t>
    </r>
    <r>
      <rPr>
        <b/>
        <i/>
        <sz val="11"/>
        <color theme="1"/>
        <rFont val="Calibri"/>
        <family val="2"/>
        <scheme val="minor"/>
      </rPr>
      <t>STUNTING</t>
    </r>
  </si>
  <si>
    <t>a. Jumlah Anak Usia &lt; 12 Bulan yang Mendapat Imunisasi Dasar Lengkap</t>
  </si>
  <si>
    <t>-</t>
  </si>
  <si>
    <t>Rp. 0</t>
  </si>
  <si>
    <t>Rp. 50,000</t>
  </si>
  <si>
    <t>Nur Wahyudi</t>
  </si>
  <si>
    <t>SUPRIANTO</t>
  </si>
  <si>
    <t>SEKRETARIS DESA</t>
  </si>
  <si>
    <t>JAWA TIMUR</t>
  </si>
  <si>
    <t>KABUPATEN MALANG</t>
  </si>
  <si>
    <t>GEDANGAN</t>
  </si>
  <si>
    <t>15. 10 24</t>
  </si>
  <si>
    <t>30. 23 456</t>
  </si>
  <si>
    <t>Jl Diponegoro Gedangan Kec Gedangan Kab Malang</t>
  </si>
  <si>
    <t>HENDIK KRISDIANTO</t>
  </si>
  <si>
    <t>deagedangan@yahoo.com</t>
  </si>
  <si>
    <t>2 Tahun</t>
  </si>
  <si>
    <t>DBD</t>
  </si>
  <si>
    <t>VOLLEY</t>
  </si>
  <si>
    <t>A1</t>
  </si>
  <si>
    <t>KAYU</t>
  </si>
  <si>
    <t>SUMBERJAYA ABADI</t>
  </si>
  <si>
    <t>CEMARA</t>
  </si>
  <si>
    <t>Rp. 12,020,400</t>
  </si>
  <si>
    <t>Rp. 952,457,000</t>
  </si>
  <si>
    <t>Rp. 35,922,644</t>
  </si>
  <si>
    <t>Rp. 519,641,000</t>
  </si>
  <si>
    <t>Rp. 62,500,000</t>
  </si>
  <si>
    <t>Rp. 51,633,500</t>
  </si>
  <si>
    <t>Rp. 499,110,808</t>
  </si>
  <si>
    <t>Rp. 315,641,000</t>
  </si>
  <si>
    <t>Rp. 548,308,148</t>
  </si>
  <si>
    <t>Rp. 459,882,000</t>
  </si>
  <si>
    <t>Rp. 73,891,148</t>
  </si>
  <si>
    <t>Rp. 957,341,020</t>
  </si>
  <si>
    <t>Rp. 9,600,000</t>
  </si>
  <si>
    <t>Rp. 96,863,150</t>
  </si>
  <si>
    <t>Rp. 24,642,200</t>
  </si>
  <si>
    <t>Rp. 15,989,850</t>
  </si>
  <si>
    <t>Rp. 12,235,200</t>
  </si>
  <si>
    <t>Rp. 1,122,065,151</t>
  </si>
  <si>
    <t>Rp. 102,134,351</t>
  </si>
  <si>
    <t>Rp. 25,200,000</t>
  </si>
  <si>
    <t>Rp. 975,522,349</t>
  </si>
  <si>
    <t>Rp. 33,644,300</t>
  </si>
  <si>
    <t>Rp. 20,450,000</t>
  </si>
  <si>
    <t>Rp. 80,658,900</t>
  </si>
  <si>
    <t>Rp. 17,926,000</t>
  </si>
  <si>
    <t>Rp. 17,842,400</t>
  </si>
  <si>
    <t>Rp. 15,108,900</t>
  </si>
  <si>
    <t>Rp. 22,951,000</t>
  </si>
  <si>
    <t>Rp. 111,143,000</t>
  </si>
  <si>
    <t>Rp. 29,790,000</t>
  </si>
  <si>
    <t>Rp. 18,880,000</t>
  </si>
  <si>
    <t>Rp. 13,957,500</t>
  </si>
  <si>
    <t>Rp. 48,515,500</t>
  </si>
  <si>
    <t>Rp. 130,307,842</t>
  </si>
  <si>
    <t>Rp. 16,922,000</t>
  </si>
  <si>
    <t>Rp. 27,425,000</t>
  </si>
  <si>
    <t>Rp. 21,283,500</t>
  </si>
  <si>
    <t>Rp. 20,956,600</t>
  </si>
  <si>
    <t>Rp. 12,640,849</t>
  </si>
  <si>
    <t>Rp. 100,000</t>
  </si>
  <si>
    <t>a6. Terdapat tindak kejahatan  peredaran narkoba / penyalahgunaan</t>
  </si>
  <si>
    <t>b. Jumlah Pos PAUD Pemerintah</t>
  </si>
  <si>
    <t>c. Jumlah Pos PAUD Non Pemerintah</t>
  </si>
  <si>
    <t>d. Jarak ke Pos PAUD terdekat</t>
  </si>
  <si>
    <t>e. Waktu tempuh untuk menuju ke PAUD terdekat</t>
  </si>
  <si>
    <t>f. Jumlah guru PAUD/TK/ RA/BA</t>
  </si>
  <si>
    <t>Jumlah_PAUD_PMR</t>
  </si>
  <si>
    <t>Jumlah_PAUD_NONPMR</t>
  </si>
  <si>
    <t>Kondisi Permukiman Desa</t>
  </si>
  <si>
    <t>Sumber Energi PJU dari PLN</t>
  </si>
  <si>
    <t>Terdapatnya Penerangan di Jalan Utama (PJU) di Desa</t>
  </si>
  <si>
    <t>a. Jumlah industri mikro dan kecil komoditas industri rumah tangga</t>
  </si>
  <si>
    <t>b. Jumlah industri mikro dan kecil komoditas pariwisata</t>
  </si>
  <si>
    <t>c. Jumlah industri mikro dan kecil komoditas perikanan</t>
  </si>
  <si>
    <t>d. Jumlah industri mikro dan kecil komoditas pertanian</t>
  </si>
  <si>
    <t>e. Jumlah industri mikro dan kecil komoditas peternakan</t>
  </si>
  <si>
    <t>Sarana dan Prasarana Ekonomi di Desa</t>
  </si>
  <si>
    <t>a. Mayoritas Peralatan Teknologi Tepat Guna pertanian yang digunakan di Desa</t>
  </si>
  <si>
    <t>a1. Jumlah peralatan Tekonologi Tepat Guna pertanian di Desa</t>
  </si>
  <si>
    <t>b. Mayoritas Peralatan Teknologi Tepat Guna petenakan yang digunakan di Desa</t>
  </si>
  <si>
    <t>b1. Jumlah alat bantu Tekonologi Tepat Guna  peternakan di Desa</t>
  </si>
  <si>
    <t>c. Mayoritas Peralatan Teknologi Tepat Guna perikanan yang digunakan di Desa</t>
  </si>
  <si>
    <t>c1. Jumlah alat bantu Tekonologi Tepat Guna  Perikanan di Desa</t>
  </si>
  <si>
    <t>Tunagrahita</t>
  </si>
  <si>
    <t>Tunanetra</t>
  </si>
  <si>
    <t>Tunarungu</t>
  </si>
  <si>
    <t>Tunalaras</t>
  </si>
  <si>
    <t>Tunadaksa</t>
  </si>
  <si>
    <t>Disabilitas_Lahir</t>
  </si>
  <si>
    <t>Disabilitas_Kecelakaan</t>
  </si>
  <si>
    <t>a. Jumlah KK yang memiliki rumah</t>
  </si>
  <si>
    <t>b. Jumlah KK yang tidak memiliki rumah</t>
  </si>
  <si>
    <t>c. Jumlah KK yang memiliki rumah permanen</t>
  </si>
  <si>
    <t>e. Jumlah KK yang memiliki rumah semi permanen</t>
  </si>
  <si>
    <t>g. Jumlah KK yang memiliki rumah non permanen</t>
  </si>
  <si>
    <t>h. Kondisi rumah non permanen</t>
  </si>
  <si>
    <t>KK_Punya_Rumah</t>
  </si>
  <si>
    <t>KK_Tdk_Punya_Rumah</t>
  </si>
  <si>
    <t>KK_Punya_Rumah_Permanen</t>
  </si>
  <si>
    <t>d. Kondisi KK Memiliki Rumah Permanen</t>
  </si>
  <si>
    <t>f. Kondisi KK Memilik rumah semi permanen</t>
  </si>
  <si>
    <t>a. Ketersediaan ruang publik terbuka bagi warga tanpa perlu membayar</t>
  </si>
  <si>
    <t>Kondisi_Rpublik</t>
  </si>
  <si>
    <t>b. Kondisi Ruang Terbuka Publik</t>
  </si>
  <si>
    <t>Kondisi_Rumah_Permanen</t>
  </si>
  <si>
    <t>Kondisi_Rumah_Semi_Permanen</t>
  </si>
  <si>
    <t>KK_Punya_Rumah_Semi_Permanen</t>
  </si>
  <si>
    <t>KK_Punya_Rumah_Non_Permanen</t>
  </si>
  <si>
    <t>a. Warga Desa BAB (Buang Air Besar)</t>
  </si>
  <si>
    <t>b. Jumlah KK Warga BAB Jamban Sendiri</t>
  </si>
  <si>
    <t>c. Jumlah KK Warga BAB Jamban Bersama</t>
  </si>
  <si>
    <t>d. Jumlah KK Warga BAB Jamban Umum</t>
  </si>
  <si>
    <t>e. Jumlah KK Warga BAB Bukan Jamban</t>
  </si>
  <si>
    <t>Jamban_Sendiri</t>
  </si>
  <si>
    <t>Jamban_Bersama</t>
  </si>
  <si>
    <t>Jamban_Umum</t>
  </si>
  <si>
    <t>Bukan_Jamban</t>
  </si>
  <si>
    <t>E_Matahari</t>
  </si>
  <si>
    <t>E_Angin</t>
  </si>
  <si>
    <t>E_Biomasa</t>
  </si>
  <si>
    <t>E_Gas</t>
  </si>
  <si>
    <t>E_Hayati_Cair</t>
  </si>
  <si>
    <t>E_Microhydro</t>
  </si>
  <si>
    <t>E_Panas_Bumi</t>
  </si>
  <si>
    <t>PJU_PLN</t>
  </si>
  <si>
    <t>Sumber Energi PJU dari Diesel Non PLN</t>
  </si>
  <si>
    <t>Sumber Energi PJU dari EBT Non PLN</t>
  </si>
  <si>
    <t>PJU_Diesel_Non_PLN</t>
  </si>
  <si>
    <t>PJU_EBT_Non_PLN</t>
  </si>
  <si>
    <t>Tersedia Tower BTS di Desa</t>
  </si>
  <si>
    <t>Tower_BTS</t>
  </si>
  <si>
    <t>Mayoritas warga yang menggunakan Parabola di Desa</t>
  </si>
  <si>
    <t>Warga_Parabola</t>
  </si>
  <si>
    <t>Jarak_Tower_Tdkt</t>
  </si>
  <si>
    <t>UMikroKecil_Industri_RT</t>
  </si>
  <si>
    <t>UMikroKecil_Pariwisata</t>
  </si>
  <si>
    <t>UMikroKecil_Perikanan</t>
  </si>
  <si>
    <t>UMikroKecil_Pertanian</t>
  </si>
  <si>
    <t>UMikroKecil_Peternakan</t>
  </si>
  <si>
    <t>f. Jumlah industri mikro dan kecil Lainnya di Desa</t>
  </si>
  <si>
    <t>UMikroKecil_Lainnya</t>
  </si>
  <si>
    <t>Total_UMikroKecil</t>
  </si>
  <si>
    <t>g. Total industri mikro dan kecil di Desa</t>
  </si>
  <si>
    <t>h. Total industri menengah di Desa</t>
  </si>
  <si>
    <t>Mayoritas_TTG_Pertanian</t>
  </si>
  <si>
    <t>Mayoritas_TTG_Perternakan</t>
  </si>
  <si>
    <t>Mayoritas_TTG_Perikanan</t>
  </si>
  <si>
    <t>Jlh_alat_mayoritas_Pertanian</t>
  </si>
  <si>
    <t>Jlh_alat_mayoritas_Perternakan</t>
  </si>
  <si>
    <t>Jlh_alat_mayoritas_Perikanan</t>
  </si>
  <si>
    <t>a2. Status Bumdesa (Aktif/Tidak Aktif)</t>
  </si>
  <si>
    <t>b. Keikutsertaan Desa Terhadap BUMDesa Bersama</t>
  </si>
  <si>
    <t>c. Nama BUMDesa Bersama</t>
  </si>
  <si>
    <t xml:space="preserve">c1.Terdapat Kantor Bumdesa Bersama di Desa </t>
  </si>
  <si>
    <t>c2. Status Bumdesa Bersama (Aktif/Tidak Aktif)</t>
  </si>
  <si>
    <t>d. BUMDesa Bisnis Sosial</t>
  </si>
  <si>
    <t>e. BUMDesa Jasa Penyewaan</t>
  </si>
  <si>
    <t>f. BUMDesa Perdagangan</t>
  </si>
  <si>
    <t>g. BUMDesa Keuangan</t>
  </si>
  <si>
    <t>i. BUMDesa Usaha</t>
  </si>
  <si>
    <t>j. BUMDesa Pariwisata</t>
  </si>
  <si>
    <t>l. Omset Bumdes 1 Tahun Terakhir</t>
  </si>
  <si>
    <t>m. Omset Bumdes Bersama 1 Tahun Terakhir</t>
  </si>
  <si>
    <t>Status_Bumdesa</t>
  </si>
  <si>
    <t>Kantor_Bumdesa_Bersama</t>
  </si>
  <si>
    <t>Status_Bumdesa_Bersama</t>
  </si>
  <si>
    <t>d1. Terdapat Bumdesa Bisnis Sosial Bidang Air Bersih</t>
  </si>
  <si>
    <t>d2. Terdapat Bumdesa Bisnis Sosial Bidang Listrik</t>
  </si>
  <si>
    <t>d3. Terdapat Bumdesa Bisnis Sosial Bidang Sampah</t>
  </si>
  <si>
    <t>d4. Terdapat Bumdesa Bisnis Sosial Bidang Jasa</t>
  </si>
  <si>
    <t>e1. Terdapat Bumdesa Jasa Sewa Tenda</t>
  </si>
  <si>
    <t>e2. Terdapat Bumdesa Jasa Sewa Peralatan</t>
  </si>
  <si>
    <t>f1. Terdapat Bumdesa Perdagangan Bidang Pertanian</t>
  </si>
  <si>
    <t>g1. Terdapat Bumdesa Keuangan Simpan Pinjam</t>
  </si>
  <si>
    <t>g2. Terdapat Bumdesa Keuangan UED SP</t>
  </si>
  <si>
    <t>g3. Terdapat Bumdesa Keuangan Mikro Finance</t>
  </si>
  <si>
    <t>g4. Terdapat Bumdesa Keuangan Brilink</t>
  </si>
  <si>
    <t>g5. Terdapat Bumdesa Keuangan Agen 46</t>
  </si>
  <si>
    <t xml:space="preserve">g6. Terdapat Bumdesa Keuangan Kredit </t>
  </si>
  <si>
    <t>g7. Terdapat Bumdesa Keuangan Koperasi</t>
  </si>
  <si>
    <t>g8. Terdapat Bumdesa Keuangan PPOB</t>
  </si>
  <si>
    <t>h1. Terdapat Bumdesa Perantara Bidang Jasa</t>
  </si>
  <si>
    <t>h2. Terdapat Bumdesa Perantara Bidang Perbengkelan</t>
  </si>
  <si>
    <t>h3. Terdapat Bumdesa Perantara Toko/Kios</t>
  </si>
  <si>
    <t>h4. Terdapat Bumdesa Perantara Bidang Percetakan</t>
  </si>
  <si>
    <t>h5. Terdapat Bumdesa Perantara Bidang Photo Copy</t>
  </si>
  <si>
    <t>h6. Terdapat Bumdesa Perantara Bidang Penggilingan Padi</t>
  </si>
  <si>
    <t>i1. Terdapat Bumdesa Usaha Bidang Kelompok Usaha</t>
  </si>
  <si>
    <t>i2. Terdapat Bumdesa Perantara Bidang Penjualan Tiket</t>
  </si>
  <si>
    <t>i3. Terdapat Bumdesa Perantara Bidang Karaoke</t>
  </si>
  <si>
    <t>j1. Terdapat Bumdesa Pariwisata Bidang Wisata Desa</t>
  </si>
  <si>
    <t>j2. Terdapat Bumdesa Pariwisata Bidang Agrowisata</t>
  </si>
  <si>
    <t>j3. Terdapat Bumdesa Pariwisata Bidang Wisata Alam</t>
  </si>
  <si>
    <t>Bumdes_Bid_BisnisSosial</t>
  </si>
  <si>
    <t>Bumdes_Bid_Jasa_Sewa</t>
  </si>
  <si>
    <t>Bumdes_Bid_Perdagangan</t>
  </si>
  <si>
    <t>Bumdes_Bid_Keuangan</t>
  </si>
  <si>
    <t>Bumdes_Bid_Jasa_Perantara</t>
  </si>
  <si>
    <t>h. BUMDesa Perantara (Layanan)</t>
  </si>
  <si>
    <t>Bumdes_Bid_Usaha</t>
  </si>
  <si>
    <t>Bumdes_Bid_Pariwisata</t>
  </si>
  <si>
    <t>BisnisSosial_AirBersih</t>
  </si>
  <si>
    <t>BisnisSosial_Listrik</t>
  </si>
  <si>
    <t>BisnisSosial_Sampah</t>
  </si>
  <si>
    <t>BisnisSosial_Jasa</t>
  </si>
  <si>
    <t>Jasa_Penyewaan_Tenda</t>
  </si>
  <si>
    <t>Jasa_Penyewaan_Peralatan</t>
  </si>
  <si>
    <t>Perdagangan_Pertanian</t>
  </si>
  <si>
    <t>Perdagangan_Perkebunan</t>
  </si>
  <si>
    <t>Perdagangan_Peternakan</t>
  </si>
  <si>
    <t>Keuangan_SimpanPinjam</t>
  </si>
  <si>
    <t>Keuangan_UEDSP</t>
  </si>
  <si>
    <t>Keuangan_MikroFinance</t>
  </si>
  <si>
    <t>Keuangan_BRILink</t>
  </si>
  <si>
    <t>Keuangan_Agen46</t>
  </si>
  <si>
    <t>Keuangan_Kredit</t>
  </si>
  <si>
    <t>Keuangan_Koperasi</t>
  </si>
  <si>
    <t>Keuangan_PPOB</t>
  </si>
  <si>
    <t>Jasa_Perantara_Jasa</t>
  </si>
  <si>
    <t>Jasa_Perantara_Perbengkelan</t>
  </si>
  <si>
    <t>Jasa_Perantara_Toko/Kios</t>
  </si>
  <si>
    <t>Jasa_Perantara_Percetakan</t>
  </si>
  <si>
    <t>Jasa_Perantara_PhotoCopy</t>
  </si>
  <si>
    <t>Jasa_Perantara_Penggilingan Padi</t>
  </si>
  <si>
    <t>Usaha_KelompokUsaha</t>
  </si>
  <si>
    <t>Usaha_PenjualanTiket</t>
  </si>
  <si>
    <t>Usaha_Karaoke</t>
  </si>
  <si>
    <t>Pariwisata_WisataDesa</t>
  </si>
  <si>
    <t>Pariwisata_Agrowisata</t>
  </si>
  <si>
    <t>Pariwisata_WisataAlam</t>
  </si>
  <si>
    <t>Jumlah_Usaha_Bumdesa</t>
  </si>
  <si>
    <t>No_perdesa_Bumdesa</t>
  </si>
  <si>
    <t>d2. Nomor Perdes Pembentukan Bumdesa</t>
  </si>
  <si>
    <t>d3. Tahun Pendirian Bumdesa</t>
  </si>
  <si>
    <t>Bumdesa_TahunBerdiri</t>
  </si>
  <si>
    <t>d4. Total Tenaga Kerja Bumdesa</t>
  </si>
  <si>
    <t>Total_Tenaga_Kerja_Bumdes</t>
  </si>
  <si>
    <t>Nama_Pengelola_Bumdesa</t>
  </si>
  <si>
    <t>e1. Nama Pengelola_Bumdesa</t>
  </si>
  <si>
    <t>Ketua_Bumdesa</t>
  </si>
  <si>
    <t>a. Nama_Ketua_Bumdesa</t>
  </si>
  <si>
    <t>b. Nama Sekretaris</t>
  </si>
  <si>
    <t>c. Nama Bendahara</t>
  </si>
  <si>
    <t>Nama_Sekretaris</t>
  </si>
  <si>
    <t>Nama_Bendahara</t>
  </si>
  <si>
    <t>Jumlah Anggota</t>
  </si>
  <si>
    <t>d. Jumlah Anggota Bumdesa</t>
  </si>
  <si>
    <t>e2. SK Pengelola Bumdesa</t>
  </si>
  <si>
    <t>SK_Pengelola_Bumdesa</t>
  </si>
  <si>
    <t>e3. Alamat Email Bumdesa</t>
  </si>
  <si>
    <t>Email_Bumdesa</t>
  </si>
  <si>
    <t>Rp</t>
  </si>
  <si>
    <t>d1. Jumlah Bidang Usaha Bumdesa</t>
  </si>
  <si>
    <t>Tahun</t>
  </si>
  <si>
    <t>081235363990</t>
  </si>
  <si>
    <t>No. Telepon Rumah / Hp  Informan</t>
  </si>
  <si>
    <t>082233962334</t>
  </si>
  <si>
    <t>Jumlah Penduduk Pendatang sd Tahun 2020</t>
  </si>
  <si>
    <t>Jumlah Penduduk Pergi sd Tahun 2020</t>
  </si>
  <si>
    <t>PERTANYAAN KUISIONER IDM 2020</t>
  </si>
  <si>
    <t>FORMULIR ISIAN PENGUKURAN STATUS DESA BERDASARKAN INDEKS DESA MEMBANGUN TAHUN 2020</t>
  </si>
  <si>
    <t>a1. Pendapatan Asli Desa Tahun 2020</t>
  </si>
  <si>
    <t>PAD_2020</t>
  </si>
  <si>
    <t>b1. Dana Desa (DD) Tahun 2020</t>
  </si>
  <si>
    <t>DD_2020</t>
  </si>
  <si>
    <t>c1. Bagi Hasil Pajak dan Retribusi Daerah Tahun 2020</t>
  </si>
  <si>
    <t>Pajak_dan_Retribusi_2020</t>
  </si>
  <si>
    <t>d1. Alokasi Dana Desa Tahun 2020</t>
  </si>
  <si>
    <t>Al_DD_2020</t>
  </si>
  <si>
    <t>e1. Bantuan Provinsi Tahun 2020</t>
  </si>
  <si>
    <t>Bantuan_Prov_2020</t>
  </si>
  <si>
    <t>f1. Bantuan Kabupaten/Kota Tahun 2020</t>
  </si>
  <si>
    <t>Bantuan_Kab/Kot_2020</t>
  </si>
  <si>
    <t>g1. Lain-lain Tahun 2020</t>
  </si>
  <si>
    <t>Lainnya_2020</t>
  </si>
  <si>
    <t>a. Total Bidang Penyelenggaraan Pemerintah Tahun 2020</t>
  </si>
  <si>
    <t>Penyelnggra_Pemrth_2020</t>
  </si>
  <si>
    <t>b. Penyelenggaraan Belanja Penghasilan Tetap, Tunjangan dan Operasional Pemerintah Desa Tahun 2020</t>
  </si>
  <si>
    <t>Penyelnggra_Blnj_Pghsln_ttp_2020</t>
  </si>
  <si>
    <t>c. Sarana dan Prasarana Pemerintah Desa Tahun 2020</t>
  </si>
  <si>
    <t>Sarpras_Pemrth_Desa_2020</t>
  </si>
  <si>
    <t>d. Adminsitrasi Kependudukan, Pencatatan Sipil, Statistik dan Kearsipan Tahun 2020</t>
  </si>
  <si>
    <t>Admin_Kependudukn_2020</t>
  </si>
  <si>
    <t>e. Tata Praja Pemerintah, Perencanaan, Keuangan, Pelaporan Tahun 2020</t>
  </si>
  <si>
    <t>Tata_Praja_Pmrth_2020</t>
  </si>
  <si>
    <t>f. Belanja Pertanahan Tahun 2020</t>
  </si>
  <si>
    <t>Pertanahan_2020</t>
  </si>
  <si>
    <t>a. Total Bidang Pelaksanaan Pembangunan Desa Tahun 2020</t>
  </si>
  <si>
    <t>Pembangunan Desa_2020</t>
  </si>
  <si>
    <t>b. Pendidikan Tahun 2020</t>
  </si>
  <si>
    <t>Pendidikan_2020</t>
  </si>
  <si>
    <t>c. Kesehatan Tahun 2020</t>
  </si>
  <si>
    <t>Kesehatan_2020</t>
  </si>
  <si>
    <t>d. Pekerjaan Umum dan Penataan Ruang Tahun 2020</t>
  </si>
  <si>
    <t>PU&amp;tataruang_2020</t>
  </si>
  <si>
    <t>e. Kawasan Pemukiman Tahun 2020</t>
  </si>
  <si>
    <t>Kwsn_Pmukiman_2020</t>
  </si>
  <si>
    <t>f. Kehutanan dan Lingkungan Hidup Tahun 2020</t>
  </si>
  <si>
    <t>Lingk_Hidup_2020</t>
  </si>
  <si>
    <t>g. Perhubungan Komunikasi dan Informatika Tahun 2020</t>
  </si>
  <si>
    <t>Perhubungan_2020</t>
  </si>
  <si>
    <t>h. Energi dan Sumber Daya Mineral Tahun 2020</t>
  </si>
  <si>
    <t>ESDM_2020</t>
  </si>
  <si>
    <t>i. Pariwisata Tahun 2020</t>
  </si>
  <si>
    <t>Pariwisata_2020</t>
  </si>
  <si>
    <t>a. Total Bidang Pembinaan Kemasyarakatan Desa Tahun 2020</t>
  </si>
  <si>
    <t>Pembinaan_Kmasyrkt_Desa_2020</t>
  </si>
  <si>
    <t>b. Ketentraman, Ketertiban dan Perlindungan Masyarakat Tahun 2020</t>
  </si>
  <si>
    <t>Ketentrmn_Ktertbibn_Plindgn_Masyrkt_2020</t>
  </si>
  <si>
    <t>c. Kebudayaan dan Keagamaan Tahun 2020</t>
  </si>
  <si>
    <t>Kbdyaan_Kagamaan_2020</t>
  </si>
  <si>
    <t>d. Kepemudaan dan Olah Raga Tahun 2020</t>
  </si>
  <si>
    <t>Kpemudaan_Olhrga_2020</t>
  </si>
  <si>
    <t>e. Kelembagaan Mayarakat Tahun 2020</t>
  </si>
  <si>
    <t>Klmbagaan_Masyrkrt_2020</t>
  </si>
  <si>
    <t>a. Total Bidang Pemberdayaan Masyarakat Desa Tahun 2020</t>
  </si>
  <si>
    <t>Pbrdayaan_Masyrkt_2020</t>
  </si>
  <si>
    <t>b. Kelautan dan Perikanan Tahun 2020</t>
  </si>
  <si>
    <t>Klautn_PerIkanan_2020</t>
  </si>
  <si>
    <t>c. Pertanian dan Peternakan Tahun 2020</t>
  </si>
  <si>
    <t>Ptanian_Pternakn_2020</t>
  </si>
  <si>
    <t>d. Peningkatan Kapasitas Aparatur Desa Tahun 2020</t>
  </si>
  <si>
    <t>Pningkatn_Kpstas_Apartr_Desa_2020</t>
  </si>
  <si>
    <t>e. Pemberdayaan Perempuan, Perlindungan Anak dan Keluarga Tahun 2020</t>
  </si>
  <si>
    <t>Pbrdayaan_Prempuan_2020</t>
  </si>
  <si>
    <t>f. Koperasi Usaha Mikro Kecil dan Menengah Tahun 2020</t>
  </si>
  <si>
    <t>Koperasi_2020</t>
  </si>
  <si>
    <t>g. Dukungan Penanaman Modal Tahun 2020</t>
  </si>
  <si>
    <t>Dukgn_Pnanamn_Modal_2020</t>
  </si>
  <si>
    <t>h. Perdagangan dan Industri Tahun 2020</t>
  </si>
  <si>
    <t>Pdagangan_Industri_2020</t>
  </si>
  <si>
    <t>a. Total Bidang Penanggulangan Bencana, Keadaan Mendesak dan Darurat Desa Tahun 2020</t>
  </si>
  <si>
    <t>Pnaggln_Bcna_Mdsak_Darurat_2020</t>
  </si>
  <si>
    <t>b. Penanggulangan Bencana Tahun 2020</t>
  </si>
  <si>
    <t>Panganggulangan_Bencana_2020</t>
  </si>
  <si>
    <t>c. Keadaan Darurat Tahun 2020</t>
  </si>
  <si>
    <t>Keadaan_Darurat_2020</t>
  </si>
  <si>
    <t>d. Keadaan Mendesak Tahun 2020</t>
  </si>
  <si>
    <t>Keadaan_Mdesak_2020</t>
  </si>
  <si>
    <t>a2. Pendapatan Asli Desa Tahun 2019</t>
  </si>
  <si>
    <t>b2. Dana Desa (DD) Tahun 2019</t>
  </si>
  <si>
    <t>c2. Bagi Hasil Pajak dan Retribusi Daerah Tahun 2019</t>
  </si>
  <si>
    <t>d2. Alokasi Dana Desa Tahun 2019</t>
  </si>
  <si>
    <t>e2. Bantuan Provinsi Tahun 2019</t>
  </si>
  <si>
    <t>f2. Bantuan Kabupaten/Kota Tahun 2019</t>
  </si>
  <si>
    <t>g2. Lain-lain Tahun 2019</t>
  </si>
  <si>
    <t>Bidang Penyelenggaraan Pemerintahan Desa Tahun 2019 dan 2020</t>
  </si>
  <si>
    <t>Bidang Pelaksanaan Pembangunan Desa Tahun 2019 dan Tahun 2020</t>
  </si>
  <si>
    <t>Bidang Pembinaan Kemasyarakatan Desa Tahun 2019 dan 2020</t>
  </si>
  <si>
    <t>Bidang Pemberdayaan Masyarakat Desa Tahun 2019 dan 2020</t>
  </si>
  <si>
    <t>Bidang Penanggulangan Bencana, Keadaan Mendesak dan Darurat Desa Tahun 2019 dan 2020</t>
  </si>
  <si>
    <t>+an</t>
  </si>
  <si>
    <t>v</t>
  </si>
  <si>
    <t>Jarak Tower Provider terdekat di Desa</t>
  </si>
  <si>
    <t>Mayoritas Warga Memiliki Sumber Air layak Minum</t>
  </si>
  <si>
    <t>KOMPONEN INDEKS DESA MEMBANGUN TAHUN 2020</t>
  </si>
  <si>
    <t>KESIMPULAN DAN TINDAK LANJUT</t>
  </si>
  <si>
    <t>i. Jumlah Ibu Hamil yang Memiliki Akses Air Minum Aman</t>
  </si>
  <si>
    <t>j. Jumlah Ibu Hamil Memiliki Jamban Layak</t>
  </si>
  <si>
    <t>Bumil_Air_Minum_Aman</t>
  </si>
  <si>
    <t>Bumil_Jamban_Layak</t>
  </si>
  <si>
    <t>i. Jumlah Anak 0-2 Tahun yang Memiliki Akses Air Minum Aman</t>
  </si>
  <si>
    <t>j. Jumlah Anak 0-2 Tahun yang Memiliki Jamban Layak</t>
  </si>
  <si>
    <t>Jlh_Anak_Air_Minum_Aman</t>
  </si>
  <si>
    <t>Jlh_Anak_Jamban_Layak</t>
  </si>
  <si>
    <t>d1. Jumlah Penyandang Kebutuhan Khusus Tunagrahita</t>
  </si>
  <si>
    <t>d2. Jumlah Penyandang Kebutuhan Khusus Tunanetra</t>
  </si>
  <si>
    <t>d3. Jumlah Penyandang Kebutuhan Khusus Tunarungu</t>
  </si>
  <si>
    <t>d4. Jumlah Penyandang Kebutuhan Khusus Tunalaras</t>
  </si>
  <si>
    <t>d5. Jumlah Penyandang Kebutuhan Khusus Tunadaksa</t>
  </si>
  <si>
    <t>d6. Jumlah Penyandang Disabilitas bawaan lahir</t>
  </si>
  <si>
    <t>d7. Jumlah Penyandang Disabilitas akibat Kecelakaan</t>
  </si>
  <si>
    <t>a. Jumlah KK yang memanfaatkan energi Matahari</t>
  </si>
  <si>
    <t>b. Jumlah KK yang memanfaatkan energi Angin</t>
  </si>
  <si>
    <t>c. Jumlah KK yang memanfaatkan energi Biomasa</t>
  </si>
  <si>
    <t>d. Jumlah KK yang memanfaatkan energi Bahan Bakar Gas</t>
  </si>
  <si>
    <t>e. Jumlah KK yang memanfaatkan energi Bahan Bakar Hayati Cair</t>
  </si>
  <si>
    <r>
      <t xml:space="preserve">f. Jumlah KK yang memanfaatkan energi </t>
    </r>
    <r>
      <rPr>
        <i/>
        <sz val="8"/>
        <color theme="1"/>
        <rFont val="Tahoma"/>
        <family val="2"/>
      </rPr>
      <t>Microhydro</t>
    </r>
  </si>
  <si>
    <t>g. Jumlah KK yang memanfaatkan energi Tenaga Panas Bumi</t>
  </si>
  <si>
    <t>h. Jumlah sumber energi terbarukan dimanfaatkan warga Desa</t>
  </si>
  <si>
    <t>Rumah_Bersalin_terdekat</t>
  </si>
  <si>
    <t>Jarak_Rumah_Bersalin</t>
  </si>
  <si>
    <t>Menit_Rumah_Bersalin</t>
  </si>
  <si>
    <t>f2. Sebutkan Bumdesa Perdagangan Bidang Pertanian</t>
  </si>
  <si>
    <t>f3. Terdapat Bumdesa Perdagangan Bidang Perkebunan</t>
  </si>
  <si>
    <t>f4. Sebutkan Bumdesa Perdagangan Bidang Perkebunan</t>
  </si>
  <si>
    <t>f5. Terdapat Bumdesa Perdagangan Bidang Peternakan</t>
  </si>
  <si>
    <t>f6. Sebutkan Bumdesa Perdagangan Bidang Peternakan</t>
  </si>
  <si>
    <t>Sebut_Perdagangan_Pertanian</t>
  </si>
  <si>
    <t>Sebut_Perdagangan_Perkebunan</t>
  </si>
  <si>
    <t>Sebut_Perdagangan_Peternakan</t>
  </si>
  <si>
    <t>Padi, Kopi</t>
  </si>
  <si>
    <t>Palawija</t>
  </si>
  <si>
    <t>Sapi, Kambing</t>
  </si>
  <si>
    <t>j4. Terdapat Bumdesa Pariwisata Bidang Transpotasi</t>
  </si>
  <si>
    <t>Pariwisata_Transportasi</t>
  </si>
  <si>
    <t>Kondisi_Rumah_Non_Permanen</t>
  </si>
  <si>
    <t>c. Jumlah Usia Anak 0-23 Bulan</t>
  </si>
  <si>
    <t>d. Waktu tempuh untuk menuju ke SD / MI terdekat</t>
  </si>
  <si>
    <t>Jlh Suku</t>
  </si>
  <si>
    <t>Jlh Bahasa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</si>
</sst>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164" formatCode="_(* #,##0.00_);_(* \(#,##0.00\);_(* &quot;-&quot;??_);_(@_)"/>
    <numFmt numFmtId="165" formatCode="0.0000"/>
    <numFmt numFmtId="166" formatCode="_-* #,##0.0000_-;\-* #,##0.0000_-;_-* &quot;-&quot;_-;_-@_-"/>
    <numFmt numFmtId="167" formatCode="_-* #,##0.0000_-;\-* #,##0.0000_-;_-* &quot;-&quot;????_-;_-@_-"/>
    <numFmt numFmtId="168" formatCode="0.000"/>
    <numFmt numFmtId="169" formatCode="_-* #,##0.000_-;\-* #,##0.000_-;_-* &quot;-&quot;_-;_-@_-"/>
    <numFmt numFmtId="170" formatCode="_-* #,##0.0000_-;\-* #,##0.0000_-;_-* &quot;-&quot;???_-;_-@_-"/>
    <numFmt numFmtId="171" formatCode="_-* #,##0.000_-;\-* #,##0.000_-;_-* &quot;-&quot;???_-;_-@_-"/>
    <numFmt numFmtId="172" formatCode="_-[$Rp-3809]* #,##0_-;\-[$Rp-3809]* #,##0_-;_-[$Rp-3809]* &quot;-&quot;_-;_-@_-"/>
    <numFmt numFmtId="173" formatCode="[$-421]dd\ mmmm\ yyyy;@"/>
    <numFmt numFmtId="174" formatCode="_-[$Rp-421]* #,##0_-;\-[$Rp-421]* #,##0_-;_-[$Rp-421]* &quot;-&quot;_-;_-@_-"/>
    <numFmt numFmtId="175" formatCode="[$Rp-3809]#,##0"/>
  </numFmts>
  <fonts count="3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Tahoma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  <font>
      <sz val="8"/>
      <color theme="1"/>
      <name val="Tahoma"/>
      <family val="2"/>
    </font>
    <font>
      <sz val="16"/>
      <color theme="1"/>
      <name val="Calibri"/>
      <family val="2"/>
      <charset val="1"/>
      <scheme val="minor"/>
    </font>
    <font>
      <sz val="16"/>
      <color theme="1"/>
      <name val="Calibri"/>
      <family val="2"/>
      <scheme val="minor"/>
    </font>
    <font>
      <sz val="16"/>
      <color theme="1"/>
      <name val="Tahoma"/>
      <family val="2"/>
    </font>
    <font>
      <b/>
      <sz val="11"/>
      <color theme="1"/>
      <name val="Tahoma"/>
      <family val="2"/>
    </font>
    <font>
      <b/>
      <sz val="11"/>
      <color theme="1"/>
      <name val="Calibri"/>
      <family val="2"/>
      <scheme val="minor"/>
    </font>
    <font>
      <i/>
      <sz val="8"/>
      <color theme="1"/>
      <name val="Tahoma"/>
      <family val="2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20"/>
      <color theme="1"/>
      <name val="Calibri"/>
      <family val="2"/>
      <scheme val="minor"/>
    </font>
    <font>
      <sz val="11"/>
      <color theme="0" tint="-0.34998626667073579"/>
      <name val="Calibri"/>
      <family val="2"/>
      <charset val="1"/>
      <scheme val="minor"/>
    </font>
    <font>
      <sz val="14"/>
      <color theme="1"/>
      <name val="Calibri"/>
      <family val="2"/>
      <charset val="1"/>
      <scheme val="minor"/>
    </font>
    <font>
      <b/>
      <sz val="14"/>
      <color theme="1"/>
      <name val="Calibri"/>
      <family val="2"/>
      <charset val="1"/>
      <scheme val="minor"/>
    </font>
    <font>
      <b/>
      <sz val="16"/>
      <color theme="1"/>
      <name val="Calibri"/>
      <family val="2"/>
      <charset val="1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6"/>
      <color theme="1"/>
      <name val="Calibri"/>
      <family val="2"/>
    </font>
    <font>
      <vertAlign val="superscript"/>
      <sz val="8"/>
      <color theme="1"/>
      <name val="Tahoma"/>
      <family val="2"/>
    </font>
    <font>
      <sz val="11"/>
      <color rgb="FFFF0000"/>
      <name val="Calibri"/>
      <family val="2"/>
      <charset val="1"/>
      <scheme val="minor"/>
    </font>
    <font>
      <b/>
      <sz val="16"/>
      <color theme="1"/>
      <name val="Tahoma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1" fontId="17" fillId="0" borderId="0" applyFont="0" applyFill="0" applyBorder="0" applyAlignment="0" applyProtection="0"/>
    <xf numFmtId="164" fontId="17" fillId="0" borderId="0" applyFont="0" applyFill="0" applyBorder="0" applyAlignment="0" applyProtection="0"/>
  </cellStyleXfs>
  <cellXfs count="557">
    <xf numFmtId="0" fontId="0" fillId="0" borderId="0" xfId="0"/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7" borderId="1" xfId="0" applyFont="1" applyFill="1" applyBorder="1" applyAlignment="1" applyProtection="1">
      <alignment horizontal="left" vertical="center" wrapText="1"/>
      <protection locked="0"/>
    </xf>
    <xf numFmtId="0" fontId="5" fillId="3" borderId="1" xfId="0" applyFont="1" applyFill="1" applyBorder="1" applyAlignment="1" applyProtection="1">
      <alignment horizontal="left" vertical="center" wrapText="1"/>
      <protection locked="0"/>
    </xf>
    <xf numFmtId="0" fontId="5" fillId="9" borderId="1" xfId="0" applyFont="1" applyFill="1" applyBorder="1" applyAlignment="1" applyProtection="1">
      <alignment horizontal="left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 vertical="center"/>
    </xf>
    <xf numFmtId="3" fontId="9" fillId="0" borderId="0" xfId="0" applyNumberFormat="1" applyFont="1" applyFill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left" vertical="center" wrapText="1"/>
      <protection locked="0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left"/>
      <protection locked="0"/>
    </xf>
    <xf numFmtId="0" fontId="13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 vertical="center"/>
    </xf>
    <xf numFmtId="0" fontId="10" fillId="0" borderId="0" xfId="0" applyFont="1" applyFill="1" applyAlignment="1" applyProtection="1">
      <alignment horizontal="center" vertical="center"/>
    </xf>
    <xf numFmtId="0" fontId="11" fillId="0" borderId="0" xfId="0" applyFont="1" applyFill="1" applyAlignment="1" applyProtection="1">
      <alignment horizontal="center" vertical="center"/>
    </xf>
    <xf numFmtId="0" fontId="19" fillId="0" borderId="0" xfId="0" applyFont="1" applyFill="1"/>
    <xf numFmtId="0" fontId="0" fillId="0" borderId="0" xfId="0" applyBorder="1"/>
    <xf numFmtId="0" fontId="0" fillId="0" borderId="0" xfId="0" applyAlignment="1">
      <alignment vertic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22" fillId="13" borderId="0" xfId="0" applyFont="1" applyFill="1" applyAlignment="1">
      <alignment horizontal="center"/>
    </xf>
    <xf numFmtId="166" fontId="20" fillId="0" borderId="0" xfId="1" applyNumberFormat="1" applyFont="1"/>
    <xf numFmtId="165" fontId="20" fillId="0" borderId="0" xfId="0" applyNumberFormat="1" applyFont="1"/>
    <xf numFmtId="167" fontId="0" fillId="0" borderId="0" xfId="0" applyNumberFormat="1"/>
    <xf numFmtId="0" fontId="19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13" borderId="14" xfId="0" applyFont="1" applyFill="1" applyBorder="1" applyAlignment="1">
      <alignment horizontal="center" vertical="center"/>
    </xf>
    <xf numFmtId="0" fontId="23" fillId="13" borderId="14" xfId="0" applyFont="1" applyFill="1" applyBorder="1" applyAlignment="1">
      <alignment horizontal="center" vertical="center" wrapText="1"/>
    </xf>
    <xf numFmtId="0" fontId="23" fillId="13" borderId="15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1" xfId="0" applyFill="1" applyBorder="1"/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169" fontId="0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14" xfId="0" applyFill="1" applyBorder="1" applyAlignment="1">
      <alignment vertical="center" wrapText="1"/>
    </xf>
    <xf numFmtId="0" fontId="20" fillId="0" borderId="11" xfId="0" applyFont="1" applyFill="1" applyBorder="1" applyAlignment="1">
      <alignment horizontal="center" vertical="center" wrapText="1"/>
    </xf>
    <xf numFmtId="169" fontId="20" fillId="0" borderId="11" xfId="0" applyNumberFormat="1" applyFont="1" applyFill="1" applyBorder="1" applyAlignment="1">
      <alignment vertical="center" wrapText="1"/>
    </xf>
    <xf numFmtId="168" fontId="20" fillId="0" borderId="11" xfId="0" applyNumberFormat="1" applyFont="1" applyFill="1" applyBorder="1" applyAlignment="1">
      <alignment vertical="center" wrapText="1"/>
    </xf>
    <xf numFmtId="0" fontId="0" fillId="0" borderId="11" xfId="0" applyFill="1" applyBorder="1" applyAlignment="1">
      <alignment vertical="center" wrapText="1"/>
    </xf>
    <xf numFmtId="169" fontId="0" fillId="0" borderId="11" xfId="1" applyNumberFormat="1" applyFont="1" applyFill="1" applyBorder="1" applyAlignment="1">
      <alignment vertical="center" wrapText="1"/>
    </xf>
    <xf numFmtId="168" fontId="0" fillId="0" borderId="11" xfId="1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168" fontId="20" fillId="0" borderId="1" xfId="0" applyNumberFormat="1" applyFont="1" applyFill="1" applyBorder="1" applyAlignment="1">
      <alignment vertical="center" wrapText="1"/>
    </xf>
    <xf numFmtId="168" fontId="0" fillId="0" borderId="1" xfId="1" applyNumberFormat="1" applyFont="1" applyFill="1" applyBorder="1" applyAlignment="1">
      <alignment vertical="center" wrapText="1"/>
    </xf>
    <xf numFmtId="168" fontId="20" fillId="0" borderId="11" xfId="1" applyNumberFormat="1" applyFont="1" applyFill="1" applyBorder="1" applyAlignment="1">
      <alignment vertical="center" wrapText="1"/>
    </xf>
    <xf numFmtId="0" fontId="0" fillId="0" borderId="11" xfId="0" applyFill="1" applyBorder="1" applyAlignment="1">
      <alignment horizontal="left" vertical="center" wrapText="1"/>
    </xf>
    <xf numFmtId="169" fontId="0" fillId="0" borderId="11" xfId="1" applyNumberFormat="1" applyFont="1" applyFill="1" applyBorder="1" applyAlignment="1">
      <alignment horizontal="center" vertical="center" wrapText="1"/>
    </xf>
    <xf numFmtId="169" fontId="0" fillId="0" borderId="1" xfId="1" applyNumberFormat="1" applyFont="1" applyFill="1" applyBorder="1" applyAlignment="1">
      <alignment vertical="center" wrapText="1"/>
    </xf>
    <xf numFmtId="0" fontId="0" fillId="0" borderId="14" xfId="0" applyFill="1" applyBorder="1" applyAlignment="1">
      <alignment horizontal="left" vertical="center" wrapText="1"/>
    </xf>
    <xf numFmtId="168" fontId="0" fillId="0" borderId="14" xfId="1" applyNumberFormat="1" applyFont="1" applyFill="1" applyBorder="1" applyAlignment="1">
      <alignment horizontal="right" vertical="center" wrapText="1"/>
    </xf>
    <xf numFmtId="165" fontId="0" fillId="0" borderId="0" xfId="0" applyNumberForma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/>
    <xf numFmtId="0" fontId="3" fillId="0" borderId="0" xfId="0" applyFont="1"/>
    <xf numFmtId="168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/>
    <xf numFmtId="166" fontId="0" fillId="0" borderId="0" xfId="1" applyNumberFormat="1" applyFont="1"/>
    <xf numFmtId="169" fontId="0" fillId="0" borderId="0" xfId="1" applyNumberFormat="1" applyFont="1" applyBorder="1" applyAlignment="1">
      <alignment horizontal="center" vertical="center"/>
    </xf>
    <xf numFmtId="165" fontId="0" fillId="0" borderId="0" xfId="1" applyNumberFormat="1" applyFont="1" applyBorder="1" applyAlignment="1">
      <alignment horizontal="right" vertical="center"/>
    </xf>
    <xf numFmtId="0" fontId="13" fillId="0" borderId="0" xfId="0" applyFont="1" applyAlignment="1">
      <alignment horizontal="right" vertical="center"/>
    </xf>
    <xf numFmtId="2" fontId="0" fillId="0" borderId="0" xfId="0" applyNumberFormat="1"/>
    <xf numFmtId="2" fontId="13" fillId="0" borderId="0" xfId="0" applyNumberFormat="1" applyFont="1"/>
    <xf numFmtId="2" fontId="3" fillId="0" borderId="0" xfId="0" applyNumberFormat="1" applyFont="1"/>
    <xf numFmtId="0" fontId="25" fillId="0" borderId="0" xfId="0" applyNumberFormat="1" applyFont="1" applyFill="1" applyAlignment="1" applyProtection="1">
      <alignment horizontal="center" vertical="center"/>
      <protection locked="0"/>
    </xf>
    <xf numFmtId="0" fontId="8" fillId="14" borderId="1" xfId="0" applyFont="1" applyFill="1" applyBorder="1" applyAlignment="1" applyProtection="1">
      <alignment horizontal="left" vertical="center" wrapText="1"/>
      <protection locked="0"/>
    </xf>
    <xf numFmtId="0" fontId="27" fillId="0" borderId="0" xfId="0" applyFont="1" applyFill="1"/>
    <xf numFmtId="0" fontId="27" fillId="0" borderId="0" xfId="0" applyFont="1" applyFill="1" applyAlignment="1">
      <alignment horizontal="center" vertical="center"/>
    </xf>
    <xf numFmtId="0" fontId="27" fillId="4" borderId="0" xfId="0" applyFont="1" applyFill="1"/>
    <xf numFmtId="0" fontId="27" fillId="4" borderId="0" xfId="0" applyFont="1" applyFill="1" applyAlignment="1">
      <alignment horizontal="center" vertical="center"/>
    </xf>
    <xf numFmtId="0" fontId="8" fillId="8" borderId="1" xfId="0" applyFont="1" applyFill="1" applyBorder="1" applyAlignment="1" applyProtection="1">
      <alignment vertical="center" wrapText="1"/>
      <protection locked="0"/>
    </xf>
    <xf numFmtId="172" fontId="9" fillId="0" borderId="0" xfId="2" applyNumberFormat="1" applyFont="1" applyFill="1" applyAlignment="1" applyProtection="1">
      <alignment horizontal="center" vertical="center"/>
      <protection locked="0"/>
    </xf>
    <xf numFmtId="172" fontId="9" fillId="0" borderId="0" xfId="0" applyNumberFormat="1" applyFont="1" applyFill="1" applyAlignment="1" applyProtection="1">
      <alignment horizontal="center" vertical="center"/>
      <protection locked="0"/>
    </xf>
    <xf numFmtId="1" fontId="8" fillId="10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0" xfId="0" applyNumberFormat="1"/>
    <xf numFmtId="1" fontId="0" fillId="0" borderId="0" xfId="0" quotePrefix="1" applyNumberFormat="1"/>
    <xf numFmtId="1" fontId="0" fillId="0" borderId="0" xfId="0" applyNumberFormat="1" applyFill="1"/>
    <xf numFmtId="1" fontId="0" fillId="0" borderId="0" xfId="0" quotePrefix="1" applyNumberFormat="1" applyFill="1"/>
    <xf numFmtId="0" fontId="0" fillId="0" borderId="0" xfId="0" applyAlignment="1">
      <alignment vertical="center" wrapText="1"/>
    </xf>
    <xf numFmtId="2" fontId="9" fillId="0" borderId="0" xfId="0" applyNumberFormat="1" applyFont="1" applyFill="1" applyAlignment="1" applyProtection="1">
      <alignment horizontal="center" vertical="center"/>
      <protection locked="0"/>
    </xf>
    <xf numFmtId="2" fontId="8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172" fontId="10" fillId="0" borderId="0" xfId="0" applyNumberFormat="1" applyFont="1" applyFill="1" applyAlignment="1" applyProtection="1">
      <alignment horizontal="center" vertical="center"/>
      <protection locked="0"/>
    </xf>
    <xf numFmtId="0" fontId="10" fillId="0" borderId="0" xfId="0" applyFont="1" applyFill="1" applyAlignment="1" applyProtection="1">
      <alignment horizontal="center" vertical="center"/>
      <protection locked="0"/>
    </xf>
    <xf numFmtId="174" fontId="10" fillId="0" borderId="0" xfId="0" applyNumberFormat="1" applyFont="1" applyFill="1" applyAlignment="1" applyProtection="1">
      <alignment horizontal="center" vertical="center"/>
      <protection locked="0"/>
    </xf>
    <xf numFmtId="0" fontId="28" fillId="0" borderId="0" xfId="0" applyFont="1" applyFill="1" applyAlignment="1" applyProtection="1">
      <alignment horizontal="center" vertical="center"/>
    </xf>
    <xf numFmtId="0" fontId="13" fillId="7" borderId="2" xfId="0" applyFont="1" applyFill="1" applyBorder="1" applyAlignment="1" applyProtection="1">
      <alignment horizontal="center" vertical="center" wrapText="1"/>
      <protection locked="0"/>
    </xf>
    <xf numFmtId="0" fontId="13" fillId="3" borderId="2" xfId="0" applyFont="1" applyFill="1" applyBorder="1" applyAlignment="1" applyProtection="1">
      <alignment horizontal="center" vertical="center" wrapText="1"/>
      <protection locked="0"/>
    </xf>
    <xf numFmtId="0" fontId="13" fillId="9" borderId="2" xfId="0" applyFont="1" applyFill="1" applyBorder="1" applyAlignment="1" applyProtection="1">
      <alignment horizontal="center" vertical="center" wrapText="1"/>
      <protection locked="0"/>
    </xf>
    <xf numFmtId="0" fontId="13" fillId="10" borderId="2" xfId="0" applyFont="1" applyFill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 applyProtection="1">
      <alignment horizontal="center" vertical="center" wrapText="1"/>
      <protection locked="0"/>
    </xf>
    <xf numFmtId="0" fontId="8" fillId="6" borderId="1" xfId="0" applyFont="1" applyFill="1" applyBorder="1" applyAlignment="1" applyProtection="1">
      <alignment horizontal="center" vertical="center" wrapText="1"/>
      <protection locked="0"/>
    </xf>
    <xf numFmtId="0" fontId="8" fillId="7" borderId="1" xfId="0" applyFont="1" applyFill="1" applyBorder="1" applyAlignment="1" applyProtection="1">
      <alignment horizontal="center" vertical="center" wrapText="1"/>
      <protection locked="0"/>
    </xf>
    <xf numFmtId="0" fontId="8" fillId="8" borderId="1" xfId="0" applyFont="1" applyFill="1" applyBorder="1" applyAlignment="1" applyProtection="1">
      <alignment horizontal="center" vertical="center" wrapText="1"/>
      <protection locked="0"/>
    </xf>
    <xf numFmtId="3" fontId="10" fillId="0" borderId="0" xfId="0" applyNumberFormat="1" applyFont="1" applyFill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/>
      <protection locked="0"/>
    </xf>
    <xf numFmtId="0" fontId="16" fillId="0" borderId="0" xfId="0" applyFont="1" applyFill="1" applyAlignment="1">
      <alignment horizontal="center" vertical="center"/>
    </xf>
    <xf numFmtId="0" fontId="13" fillId="7" borderId="3" xfId="0" applyFont="1" applyFill="1" applyBorder="1" applyAlignment="1" applyProtection="1">
      <alignment horizontal="center" vertical="center" wrapText="1"/>
      <protection locked="0"/>
    </xf>
    <xf numFmtId="0" fontId="13" fillId="3" borderId="3" xfId="0" applyFont="1" applyFill="1" applyBorder="1" applyAlignment="1" applyProtection="1">
      <alignment horizontal="center" vertical="center" wrapText="1"/>
      <protection locked="0"/>
    </xf>
    <xf numFmtId="0" fontId="13" fillId="9" borderId="3" xfId="0" applyFont="1" applyFill="1" applyBorder="1" applyAlignment="1" applyProtection="1">
      <alignment horizontal="center" vertical="center" wrapText="1"/>
      <protection locked="0"/>
    </xf>
    <xf numFmtId="0" fontId="13" fillId="10" borderId="3" xfId="0" applyFont="1" applyFill="1" applyBorder="1" applyAlignment="1" applyProtection="1">
      <alignment horizontal="center" vertical="center" wrapText="1"/>
      <protection locked="0"/>
    </xf>
    <xf numFmtId="2" fontId="9" fillId="14" borderId="0" xfId="0" applyNumberFormat="1" applyFont="1" applyFill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 vertical="center" wrapText="1"/>
    </xf>
    <xf numFmtId="1" fontId="8" fillId="10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left" vertical="center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left" vertical="center" wrapText="1"/>
    </xf>
    <xf numFmtId="0" fontId="8" fillId="3" borderId="7" xfId="0" applyFont="1" applyFill="1" applyBorder="1" applyAlignment="1" applyProtection="1">
      <alignment horizontal="left" vertical="center" wrapText="1"/>
    </xf>
    <xf numFmtId="0" fontId="8" fillId="5" borderId="1" xfId="0" applyFont="1" applyFill="1" applyBorder="1" applyAlignment="1" applyProtection="1">
      <alignment horizontal="left" vertical="center" wrapText="1"/>
    </xf>
    <xf numFmtId="3" fontId="8" fillId="0" borderId="0" xfId="0" applyNumberFormat="1" applyFont="1" applyFill="1" applyBorder="1" applyAlignment="1" applyProtection="1">
      <alignment horizontal="center" vertical="center" wrapText="1"/>
    </xf>
    <xf numFmtId="0" fontId="8" fillId="14" borderId="1" xfId="0" applyFont="1" applyFill="1" applyBorder="1" applyAlignment="1" applyProtection="1">
      <alignment horizontal="left" vertical="center" wrapText="1"/>
    </xf>
    <xf numFmtId="2" fontId="8" fillId="0" borderId="0" xfId="0" applyNumberFormat="1" applyFont="1" applyFill="1" applyBorder="1" applyAlignment="1" applyProtection="1">
      <alignment horizontal="center" vertical="center" wrapText="1"/>
    </xf>
    <xf numFmtId="0" fontId="8" fillId="5" borderId="2" xfId="0" applyFont="1" applyFill="1" applyBorder="1" applyAlignment="1" applyProtection="1">
      <alignment horizontal="left" vertical="center" wrapText="1"/>
    </xf>
    <xf numFmtId="0" fontId="8" fillId="5" borderId="1" xfId="0" applyFont="1" applyFill="1" applyBorder="1" applyAlignment="1" applyProtection="1">
      <alignment vertical="center" wrapText="1"/>
    </xf>
    <xf numFmtId="1" fontId="8" fillId="0" borderId="0" xfId="0" applyNumberFormat="1" applyFont="1" applyFill="1" applyBorder="1" applyAlignment="1" applyProtection="1">
      <alignment horizontal="center" vertical="center" wrapText="1"/>
    </xf>
    <xf numFmtId="172" fontId="8" fillId="0" borderId="0" xfId="0" applyNumberFormat="1" applyFont="1" applyFill="1" applyBorder="1" applyAlignment="1" applyProtection="1">
      <alignment horizontal="center" vertical="center" wrapText="1"/>
    </xf>
    <xf numFmtId="0" fontId="8" fillId="6" borderId="1" xfId="0" applyFont="1" applyFill="1" applyBorder="1" applyAlignment="1" applyProtection="1">
      <alignment horizontal="left" vertical="center" wrapText="1"/>
    </xf>
    <xf numFmtId="0" fontId="8" fillId="6" borderId="2" xfId="0" applyFont="1" applyFill="1" applyBorder="1" applyAlignment="1" applyProtection="1">
      <alignment horizontal="left" vertical="center" wrapText="1"/>
    </xf>
    <xf numFmtId="0" fontId="8" fillId="7" borderId="1" xfId="0" applyFont="1" applyFill="1" applyBorder="1" applyAlignment="1" applyProtection="1">
      <alignment horizontal="left" vertical="center" wrapText="1"/>
    </xf>
    <xf numFmtId="0" fontId="8" fillId="8" borderId="1" xfId="0" applyFont="1" applyFill="1" applyBorder="1" applyAlignment="1" applyProtection="1">
      <alignment horizontal="left" vertical="center" wrapText="1"/>
    </xf>
    <xf numFmtId="0" fontId="8" fillId="8" borderId="1" xfId="0" applyFont="1" applyFill="1" applyBorder="1" applyAlignment="1" applyProtection="1">
      <alignment vertical="center" wrapText="1"/>
    </xf>
    <xf numFmtId="0" fontId="8" fillId="8" borderId="3" xfId="0" applyFont="1" applyFill="1" applyBorder="1" applyAlignment="1" applyProtection="1">
      <alignment vertical="center" wrapText="1"/>
    </xf>
    <xf numFmtId="174" fontId="8" fillId="0" borderId="0" xfId="0" applyNumberFormat="1" applyFont="1" applyFill="1" applyBorder="1" applyAlignment="1" applyProtection="1">
      <alignment horizontal="center" vertical="center" wrapText="1"/>
    </xf>
    <xf numFmtId="0" fontId="5" fillId="7" borderId="1" xfId="0" applyFont="1" applyFill="1" applyBorder="1" applyAlignment="1" applyProtection="1">
      <alignment horizontal="left" vertical="center" wrapText="1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13" fillId="7" borderId="2" xfId="0" applyFont="1" applyFill="1" applyBorder="1" applyAlignment="1" applyProtection="1">
      <alignment horizontal="center" vertical="center" wrapText="1"/>
    </xf>
    <xf numFmtId="0" fontId="13" fillId="7" borderId="3" xfId="0" applyFont="1" applyFill="1" applyBorder="1" applyAlignment="1" applyProtection="1">
      <alignment horizontal="center" vertical="center" wrapText="1"/>
    </xf>
    <xf numFmtId="165" fontId="8" fillId="0" borderId="0" xfId="0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left" vertical="center" wrapText="1"/>
    </xf>
    <xf numFmtId="0" fontId="13" fillId="3" borderId="2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 applyProtection="1">
      <alignment horizontal="center" vertical="center" wrapText="1"/>
    </xf>
    <xf numFmtId="0" fontId="5" fillId="9" borderId="1" xfId="0" applyFont="1" applyFill="1" applyBorder="1" applyAlignment="1" applyProtection="1">
      <alignment horizontal="left" vertical="center" wrapText="1"/>
    </xf>
    <xf numFmtId="0" fontId="13" fillId="9" borderId="2" xfId="0" applyFont="1" applyFill="1" applyBorder="1" applyAlignment="1" applyProtection="1">
      <alignment horizontal="center" vertical="center" wrapText="1"/>
    </xf>
    <xf numFmtId="0" fontId="13" fillId="9" borderId="3" xfId="0" applyFont="1" applyFill="1" applyBorder="1" applyAlignment="1" applyProtection="1">
      <alignment horizontal="center" vertical="center" wrapText="1"/>
    </xf>
    <xf numFmtId="0" fontId="13" fillId="10" borderId="2" xfId="0" applyFont="1" applyFill="1" applyBorder="1" applyAlignment="1" applyProtection="1">
      <alignment horizontal="center" vertical="center" wrapText="1"/>
    </xf>
    <xf numFmtId="0" fontId="13" fillId="10" borderId="3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169" fontId="0" fillId="0" borderId="1" xfId="1" applyNumberFormat="1" applyFont="1" applyFill="1" applyBorder="1" applyAlignment="1">
      <alignment horizontal="center" vertical="center" wrapText="1"/>
    </xf>
    <xf numFmtId="168" fontId="0" fillId="0" borderId="1" xfId="1" applyNumberFormat="1" applyFont="1" applyFill="1" applyBorder="1" applyAlignment="1">
      <alignment horizontal="center" vertical="center" wrapText="1"/>
    </xf>
    <xf numFmtId="168" fontId="0" fillId="0" borderId="14" xfId="1" applyNumberFormat="1" applyFont="1" applyFill="1" applyBorder="1" applyAlignment="1">
      <alignment horizontal="center" vertical="center" wrapText="1"/>
    </xf>
    <xf numFmtId="168" fontId="0" fillId="0" borderId="1" xfId="1" applyNumberFormat="1" applyFont="1" applyFill="1" applyBorder="1" applyAlignment="1">
      <alignment horizontal="center" vertical="center"/>
    </xf>
    <xf numFmtId="169" fontId="0" fillId="0" borderId="1" xfId="1" applyNumberFormat="1" applyFont="1" applyFill="1" applyBorder="1" applyAlignment="1">
      <alignment horizontal="center" vertical="center"/>
    </xf>
    <xf numFmtId="168" fontId="0" fillId="0" borderId="7" xfId="1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 applyProtection="1">
      <alignment horizontal="left" vertical="center" wrapText="1"/>
    </xf>
    <xf numFmtId="0" fontId="8" fillId="6" borderId="5" xfId="0" applyFont="1" applyFill="1" applyBorder="1" applyAlignment="1" applyProtection="1">
      <alignment horizontal="left" vertical="center" wrapText="1"/>
    </xf>
    <xf numFmtId="0" fontId="8" fillId="6" borderId="7" xfId="0" applyFont="1" applyFill="1" applyBorder="1" applyAlignment="1" applyProtection="1">
      <alignment horizontal="left" vertical="center" wrapText="1"/>
    </xf>
    <xf numFmtId="0" fontId="8" fillId="7" borderId="5" xfId="0" applyFont="1" applyFill="1" applyBorder="1" applyAlignment="1" applyProtection="1">
      <alignment horizontal="left" vertical="center" wrapText="1"/>
    </xf>
    <xf numFmtId="0" fontId="8" fillId="7" borderId="7" xfId="0" applyFont="1" applyFill="1" applyBorder="1" applyAlignment="1" applyProtection="1">
      <alignment horizontal="left" vertical="center" wrapText="1"/>
    </xf>
    <xf numFmtId="0" fontId="0" fillId="0" borderId="0" xfId="0" applyAlignment="1" applyProtection="1">
      <alignment horizontal="center"/>
    </xf>
    <xf numFmtId="1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1" fontId="8" fillId="0" borderId="1" xfId="0" applyNumberFormat="1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vertical="center" wrapText="1"/>
    </xf>
    <xf numFmtId="0" fontId="4" fillId="3" borderId="4" xfId="0" applyFont="1" applyFill="1" applyBorder="1" applyAlignment="1" applyProtection="1">
      <alignment vertical="center" wrapText="1"/>
    </xf>
    <xf numFmtId="0" fontId="4" fillId="3" borderId="3" xfId="0" applyFont="1" applyFill="1" applyBorder="1" applyAlignment="1" applyProtection="1">
      <alignment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8" fillId="3" borderId="3" xfId="0" applyFont="1" applyFill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5" borderId="1" xfId="0" applyFont="1" applyFill="1" applyBorder="1" applyAlignment="1" applyProtection="1">
      <alignment horizontal="center" vertical="center" wrapText="1"/>
    </xf>
    <xf numFmtId="0" fontId="4" fillId="5" borderId="2" xfId="0" applyFont="1" applyFill="1" applyBorder="1" applyAlignment="1" applyProtection="1">
      <alignment horizontal="left" vertical="center" wrapText="1"/>
    </xf>
    <xf numFmtId="1" fontId="8" fillId="0" borderId="21" xfId="0" applyNumberFormat="1" applyFont="1" applyFill="1" applyBorder="1" applyAlignment="1" applyProtection="1">
      <alignment horizontal="center" vertical="center" wrapText="1"/>
    </xf>
    <xf numFmtId="0" fontId="4" fillId="5" borderId="3" xfId="0" applyFont="1" applyFill="1" applyBorder="1" applyAlignment="1" applyProtection="1">
      <alignment horizontal="left" vertical="center" wrapText="1"/>
    </xf>
    <xf numFmtId="0" fontId="4" fillId="5" borderId="1" xfId="0" applyFont="1" applyFill="1" applyBorder="1" applyAlignment="1" applyProtection="1">
      <alignment horizontal="left" vertical="center" wrapText="1"/>
    </xf>
    <xf numFmtId="0" fontId="8" fillId="5" borderId="3" xfId="0" applyFont="1" applyFill="1" applyBorder="1" applyAlignment="1" applyProtection="1">
      <alignment horizontal="left" vertical="center" wrapText="1"/>
    </xf>
    <xf numFmtId="0" fontId="8" fillId="5" borderId="1" xfId="0" applyFont="1" applyFill="1" applyBorder="1" applyAlignment="1" applyProtection="1">
      <alignment horizontal="center" vertical="center" wrapText="1"/>
    </xf>
    <xf numFmtId="0" fontId="4" fillId="5" borderId="4" xfId="0" applyFont="1" applyFill="1" applyBorder="1" applyAlignment="1" applyProtection="1">
      <alignment horizontal="left" vertical="center" wrapText="1"/>
    </xf>
    <xf numFmtId="0" fontId="4" fillId="6" borderId="2" xfId="0" applyFont="1" applyFill="1" applyBorder="1" applyAlignment="1" applyProtection="1">
      <alignment horizontal="center" vertical="center" wrapText="1"/>
    </xf>
    <xf numFmtId="0" fontId="4" fillId="6" borderId="2" xfId="0" applyFont="1" applyFill="1" applyBorder="1" applyAlignment="1" applyProtection="1">
      <alignment horizontal="left" vertical="center" wrapText="1"/>
    </xf>
    <xf numFmtId="0" fontId="4" fillId="6" borderId="3" xfId="0" applyFont="1" applyFill="1" applyBorder="1" applyAlignment="1" applyProtection="1">
      <alignment horizontal="left" vertical="center" wrapText="1"/>
    </xf>
    <xf numFmtId="0" fontId="4" fillId="7" borderId="1" xfId="0" applyFont="1" applyFill="1" applyBorder="1" applyAlignment="1" applyProtection="1">
      <alignment horizontal="center" vertical="center" wrapText="1"/>
    </xf>
    <xf numFmtId="0" fontId="4" fillId="7" borderId="2" xfId="0" applyFont="1" applyFill="1" applyBorder="1" applyAlignment="1" applyProtection="1">
      <alignment horizontal="left" vertical="center" wrapText="1"/>
    </xf>
    <xf numFmtId="0" fontId="4" fillId="7" borderId="3" xfId="0" applyFont="1" applyFill="1" applyBorder="1" applyAlignment="1" applyProtection="1">
      <alignment horizontal="left" vertical="center" wrapText="1"/>
    </xf>
    <xf numFmtId="0" fontId="4" fillId="7" borderId="1" xfId="0" applyFont="1" applyFill="1" applyBorder="1" applyAlignment="1" applyProtection="1">
      <alignment horizontal="left" vertical="center" wrapText="1"/>
    </xf>
    <xf numFmtId="0" fontId="4" fillId="8" borderId="2" xfId="0" applyFont="1" applyFill="1" applyBorder="1" applyAlignment="1" applyProtection="1">
      <alignment horizontal="left" vertical="center" wrapText="1"/>
    </xf>
    <xf numFmtId="0" fontId="4" fillId="8" borderId="3" xfId="0" applyFont="1" applyFill="1" applyBorder="1" applyAlignment="1" applyProtection="1">
      <alignment horizontal="left" vertical="center" wrapText="1"/>
    </xf>
    <xf numFmtId="0" fontId="4" fillId="8" borderId="2" xfId="0" applyFont="1" applyFill="1" applyBorder="1" applyAlignment="1" applyProtection="1">
      <alignment horizontal="center" vertical="center" wrapText="1"/>
    </xf>
    <xf numFmtId="0" fontId="4" fillId="8" borderId="3" xfId="0" applyFont="1" applyFill="1" applyBorder="1" applyAlignment="1" applyProtection="1">
      <alignment horizontal="center" vertical="center" wrapText="1"/>
    </xf>
    <xf numFmtId="0" fontId="16" fillId="12" borderId="1" xfId="0" applyFont="1" applyFill="1" applyBorder="1" applyAlignment="1" applyProtection="1">
      <alignment horizontal="center" vertical="center"/>
    </xf>
    <xf numFmtId="0" fontId="0" fillId="0" borderId="0" xfId="0" applyProtection="1"/>
    <xf numFmtId="0" fontId="12" fillId="12" borderId="1" xfId="0" applyFont="1" applyFill="1" applyBorder="1" applyAlignment="1" applyProtection="1">
      <alignment horizontal="center" vertical="center"/>
    </xf>
    <xf numFmtId="0" fontId="8" fillId="5" borderId="5" xfId="0" applyFont="1" applyFill="1" applyBorder="1" applyAlignment="1" applyProtection="1">
      <alignment horizontal="left" vertical="center" wrapText="1"/>
    </xf>
    <xf numFmtId="0" fontId="8" fillId="5" borderId="7" xfId="0" applyFont="1" applyFill="1" applyBorder="1" applyAlignment="1" applyProtection="1">
      <alignment horizontal="left" vertical="center" wrapText="1"/>
    </xf>
    <xf numFmtId="3" fontId="8" fillId="14" borderId="0" xfId="0" applyNumberFormat="1" applyFont="1" applyFill="1" applyBorder="1" applyAlignment="1" applyProtection="1">
      <alignment horizontal="center" vertical="center" wrapText="1"/>
    </xf>
    <xf numFmtId="0" fontId="8" fillId="14" borderId="0" xfId="0" applyFont="1" applyFill="1" applyBorder="1" applyAlignment="1" applyProtection="1">
      <alignment horizontal="center" vertical="center" wrapText="1"/>
    </xf>
    <xf numFmtId="3" fontId="9" fillId="14" borderId="0" xfId="0" applyNumberFormat="1" applyFont="1" applyFill="1" applyAlignment="1" applyProtection="1">
      <alignment horizontal="center" vertical="center"/>
    </xf>
    <xf numFmtId="0" fontId="9" fillId="14" borderId="0" xfId="0" applyFont="1" applyFill="1" applyAlignment="1" applyProtection="1">
      <alignment horizontal="center" vertical="center"/>
    </xf>
    <xf numFmtId="2" fontId="8" fillId="14" borderId="0" xfId="0" applyNumberFormat="1" applyFont="1" applyFill="1" applyBorder="1" applyAlignment="1" applyProtection="1">
      <alignment horizontal="center" vertical="center" wrapText="1"/>
    </xf>
    <xf numFmtId="2" fontId="0" fillId="0" borderId="11" xfId="0" applyNumberFormat="1" applyFill="1" applyBorder="1" applyAlignment="1">
      <alignment horizontal="center" vertical="center"/>
    </xf>
    <xf numFmtId="168" fontId="0" fillId="0" borderId="12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68" fontId="0" fillId="0" borderId="19" xfId="0" applyNumberFormat="1" applyFill="1" applyBorder="1" applyAlignment="1">
      <alignment horizontal="center" vertical="center"/>
    </xf>
    <xf numFmtId="2" fontId="0" fillId="0" borderId="14" xfId="0" applyNumberFormat="1" applyFill="1" applyBorder="1" applyAlignment="1">
      <alignment horizontal="center" vertical="center"/>
    </xf>
    <xf numFmtId="168" fontId="0" fillId="0" borderId="15" xfId="0" applyNumberForma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65" fontId="20" fillId="0" borderId="0" xfId="0" applyNumberFormat="1" applyFont="1" applyBorder="1"/>
    <xf numFmtId="167" fontId="0" fillId="0" borderId="0" xfId="0" applyNumberFormat="1" applyBorder="1"/>
    <xf numFmtId="0" fontId="0" fillId="0" borderId="0" xfId="0" applyBorder="1" applyAlignment="1">
      <alignment horizontal="center" vertical="center"/>
    </xf>
    <xf numFmtId="0" fontId="23" fillId="0" borderId="0" xfId="0" applyFont="1"/>
    <xf numFmtId="0" fontId="0" fillId="0" borderId="10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4" fillId="8" borderId="23" xfId="0" applyFont="1" applyFill="1" applyBorder="1" applyAlignment="1" applyProtection="1">
      <alignment horizontal="left" vertical="center" wrapText="1"/>
    </xf>
    <xf numFmtId="0" fontId="4" fillId="8" borderId="24" xfId="0" applyFont="1" applyFill="1" applyBorder="1" applyAlignment="1" applyProtection="1">
      <alignment horizontal="left" vertical="center" wrapText="1"/>
    </xf>
    <xf numFmtId="0" fontId="4" fillId="6" borderId="24" xfId="0" applyFont="1" applyFill="1" applyBorder="1" applyAlignment="1" applyProtection="1">
      <alignment horizontal="left" vertical="center" wrapText="1"/>
    </xf>
    <xf numFmtId="175" fontId="9" fillId="0" borderId="0" xfId="0" applyNumberFormat="1" applyFont="1" applyFill="1" applyAlignment="1" applyProtection="1">
      <alignment horizontal="center" vertical="center"/>
      <protection locked="0"/>
    </xf>
    <xf numFmtId="0" fontId="13" fillId="0" borderId="0" xfId="0" applyFont="1" applyAlignment="1">
      <alignment horizontal="center" vertical="center"/>
    </xf>
    <xf numFmtId="165" fontId="13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165" fontId="1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30" fillId="0" borderId="31" xfId="0" applyFont="1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/>
    <xf numFmtId="0" fontId="30" fillId="0" borderId="33" xfId="0" applyFont="1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2" xfId="0" applyBorder="1" applyAlignment="1">
      <alignment horizontal="center" vertical="center"/>
    </xf>
    <xf numFmtId="2" fontId="30" fillId="0" borderId="33" xfId="0" applyNumberFormat="1" applyFont="1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31" xfId="0" applyFill="1" applyBorder="1" applyAlignment="1">
      <alignment horizontal="center" vertical="center" wrapText="1"/>
    </xf>
    <xf numFmtId="0" fontId="23" fillId="0" borderId="32" xfId="0" applyFont="1" applyBorder="1"/>
    <xf numFmtId="0" fontId="23" fillId="0" borderId="36" xfId="0" applyFont="1" applyBorder="1"/>
    <xf numFmtId="0" fontId="0" fillId="0" borderId="35" xfId="0" applyFill="1" applyBorder="1" applyAlignment="1">
      <alignment vertical="center" wrapText="1"/>
    </xf>
    <xf numFmtId="0" fontId="0" fillId="0" borderId="35" xfId="0" applyFill="1" applyBorder="1" applyAlignment="1">
      <alignment horizontal="center" vertical="center" wrapText="1"/>
    </xf>
    <xf numFmtId="0" fontId="23" fillId="0" borderId="30" xfId="0" applyFont="1" applyBorder="1"/>
    <xf numFmtId="0" fontId="30" fillId="0" borderId="27" xfId="0" applyFont="1" applyFill="1" applyBorder="1" applyAlignment="1">
      <alignment horizontal="center" vertical="center" wrapText="1"/>
    </xf>
    <xf numFmtId="0" fontId="0" fillId="0" borderId="27" xfId="0" applyFill="1" applyBorder="1" applyAlignment="1">
      <alignment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7" xfId="0" applyBorder="1" applyAlignment="1">
      <alignment vertical="center"/>
    </xf>
    <xf numFmtId="0" fontId="30" fillId="0" borderId="30" xfId="0" applyFont="1" applyFill="1" applyBorder="1" applyAlignment="1">
      <alignment horizontal="center" vertical="center" wrapText="1"/>
    </xf>
    <xf numFmtId="2" fontId="30" fillId="0" borderId="30" xfId="0" applyNumberFormat="1" applyFont="1" applyFill="1" applyBorder="1" applyAlignment="1">
      <alignment horizontal="center" vertical="center" wrapText="1"/>
    </xf>
    <xf numFmtId="2" fontId="30" fillId="0" borderId="31" xfId="0" applyNumberFormat="1" applyFont="1" applyFill="1" applyBorder="1" applyAlignment="1">
      <alignment horizontal="center" vertical="center" wrapText="1"/>
    </xf>
    <xf numFmtId="0" fontId="30" fillId="0" borderId="36" xfId="0" applyFont="1" applyFill="1" applyBorder="1" applyAlignment="1">
      <alignment horizontal="center" vertical="center" wrapText="1"/>
    </xf>
    <xf numFmtId="2" fontId="30" fillId="0" borderId="35" xfId="0" applyNumberFormat="1" applyFont="1" applyFill="1" applyBorder="1" applyAlignment="1">
      <alignment horizontal="center" vertical="center" wrapText="1"/>
    </xf>
    <xf numFmtId="2" fontId="30" fillId="0" borderId="27" xfId="0" applyNumberFormat="1" applyFont="1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/>
    </xf>
    <xf numFmtId="0" fontId="30" fillId="0" borderId="27" xfId="0" applyFont="1" applyFill="1" applyBorder="1" applyAlignment="1">
      <alignment horizontal="center" vertical="center"/>
    </xf>
    <xf numFmtId="2" fontId="30" fillId="0" borderId="27" xfId="0" applyNumberFormat="1" applyFont="1" applyFill="1" applyBorder="1" applyAlignment="1">
      <alignment horizontal="center" vertical="center"/>
    </xf>
    <xf numFmtId="0" fontId="32" fillId="0" borderId="30" xfId="0" applyFont="1" applyBorder="1"/>
    <xf numFmtId="0" fontId="32" fillId="0" borderId="32" xfId="0" applyFont="1" applyBorder="1"/>
    <xf numFmtId="0" fontId="32" fillId="0" borderId="36" xfId="0" applyFont="1" applyBorder="1"/>
    <xf numFmtId="0" fontId="0" fillId="0" borderId="27" xfId="0" applyFill="1" applyBorder="1" applyAlignment="1">
      <alignment horizontal="left" vertical="center" wrapText="1"/>
    </xf>
    <xf numFmtId="2" fontId="0" fillId="0" borderId="27" xfId="0" applyNumberFormat="1" applyFill="1" applyBorder="1" applyAlignment="1">
      <alignment horizontal="center" vertical="center" wrapText="1"/>
    </xf>
    <xf numFmtId="0" fontId="32" fillId="0" borderId="30" xfId="0" applyFont="1" applyFill="1" applyBorder="1"/>
    <xf numFmtId="0" fontId="0" fillId="0" borderId="31" xfId="0" applyFill="1" applyBorder="1" applyAlignment="1">
      <alignment vertical="center" wrapText="1"/>
    </xf>
    <xf numFmtId="2" fontId="0" fillId="0" borderId="31" xfId="0" applyNumberFormat="1" applyFill="1" applyBorder="1" applyAlignment="1">
      <alignment horizontal="center" vertical="center" wrapText="1"/>
    </xf>
    <xf numFmtId="2" fontId="0" fillId="0" borderId="35" xfId="0" applyNumberForma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4" fillId="0" borderId="0" xfId="0" applyFont="1" applyAlignment="1"/>
    <xf numFmtId="0" fontId="0" fillId="0" borderId="31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0" fillId="0" borderId="3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2" xfId="0" applyBorder="1"/>
    <xf numFmtId="0" fontId="0" fillId="0" borderId="0" xfId="0" applyBorder="1" applyAlignment="1">
      <alignment horizontal="left"/>
    </xf>
    <xf numFmtId="0" fontId="0" fillId="0" borderId="7" xfId="0" applyBorder="1" applyAlignment="1">
      <alignment horizontal="center" vertical="center" wrapText="1"/>
    </xf>
    <xf numFmtId="0" fontId="13" fillId="0" borderId="21" xfId="0" applyFont="1" applyFill="1" applyBorder="1" applyAlignment="1"/>
    <xf numFmtId="0" fontId="13" fillId="0" borderId="0" xfId="0" applyFont="1" applyFill="1" applyBorder="1" applyAlignment="1"/>
    <xf numFmtId="0" fontId="13" fillId="0" borderId="0" xfId="0" applyFont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 wrapText="1"/>
    </xf>
    <xf numFmtId="0" fontId="29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35" fillId="0" borderId="27" xfId="0" applyFont="1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</xf>
    <xf numFmtId="0" fontId="0" fillId="0" borderId="25" xfId="0" applyBorder="1" applyProtection="1"/>
    <xf numFmtId="0" fontId="0" fillId="0" borderId="33" xfId="0" applyFill="1" applyBorder="1" applyAlignment="1">
      <alignment horizontal="left" vertical="center" wrapText="1"/>
    </xf>
    <xf numFmtId="0" fontId="30" fillId="0" borderId="31" xfId="0" applyFont="1" applyFill="1" applyBorder="1" applyAlignment="1">
      <alignment horizontal="center" vertical="center" wrapText="1"/>
    </xf>
    <xf numFmtId="0" fontId="30" fillId="0" borderId="33" xfId="0" applyFont="1" applyFill="1" applyBorder="1" applyAlignment="1">
      <alignment horizontal="center" vertical="center" wrapText="1"/>
    </xf>
    <xf numFmtId="0" fontId="30" fillId="0" borderId="35" xfId="0" applyFont="1" applyFill="1" applyBorder="1" applyAlignment="1">
      <alignment horizontal="center" vertical="center" wrapText="1"/>
    </xf>
    <xf numFmtId="0" fontId="0" fillId="0" borderId="35" xfId="0" applyFill="1" applyBorder="1" applyAlignment="1">
      <alignment horizontal="left" vertical="center" wrapText="1"/>
    </xf>
    <xf numFmtId="0" fontId="30" fillId="0" borderId="31" xfId="0" applyFont="1" applyFill="1" applyBorder="1" applyAlignment="1">
      <alignment horizontal="center" vertical="center"/>
    </xf>
    <xf numFmtId="0" fontId="30" fillId="0" borderId="35" xfId="0" applyFont="1" applyFill="1" applyBorder="1" applyAlignment="1">
      <alignment horizontal="center" vertical="center"/>
    </xf>
    <xf numFmtId="2" fontId="31" fillId="0" borderId="30" xfId="0" applyNumberFormat="1" applyFont="1" applyBorder="1" applyAlignment="1">
      <alignment vertical="center"/>
    </xf>
    <xf numFmtId="2" fontId="31" fillId="0" borderId="34" xfId="0" applyNumberFormat="1" applyFont="1" applyBorder="1" applyAlignment="1">
      <alignment vertical="center"/>
    </xf>
    <xf numFmtId="2" fontId="31" fillId="0" borderId="35" xfId="0" applyNumberFormat="1" applyFont="1" applyBorder="1" applyAlignment="1">
      <alignment vertical="center"/>
    </xf>
    <xf numFmtId="2" fontId="31" fillId="0" borderId="32" xfId="0" applyNumberFormat="1" applyFont="1" applyBorder="1" applyAlignment="1">
      <alignment vertical="center"/>
    </xf>
    <xf numFmtId="2" fontId="31" fillId="0" borderId="27" xfId="0" applyNumberFormat="1" applyFont="1" applyBorder="1" applyAlignment="1">
      <alignment vertical="center"/>
    </xf>
    <xf numFmtId="2" fontId="36" fillId="0" borderId="31" xfId="0" applyNumberFormat="1" applyFont="1" applyBorder="1" applyAlignment="1">
      <alignment horizontal="center" vertical="center"/>
    </xf>
    <xf numFmtId="2" fontId="36" fillId="0" borderId="33" xfId="0" applyNumberFormat="1" applyFont="1" applyBorder="1" applyAlignment="1">
      <alignment horizontal="center" vertical="center"/>
    </xf>
    <xf numFmtId="2" fontId="36" fillId="0" borderId="35" xfId="0" applyNumberFormat="1" applyFont="1" applyBorder="1" applyAlignment="1">
      <alignment horizontal="center" vertical="center"/>
    </xf>
    <xf numFmtId="4" fontId="10" fillId="0" borderId="0" xfId="0" applyNumberFormat="1" applyFont="1" applyFill="1" applyAlignment="1" applyProtection="1">
      <alignment horizontal="center" vertical="center"/>
      <protection locked="0"/>
    </xf>
    <xf numFmtId="4" fontId="9" fillId="0" borderId="0" xfId="0" applyNumberFormat="1" applyFont="1" applyFill="1" applyAlignment="1" applyProtection="1">
      <alignment horizontal="center" vertical="center"/>
      <protection locked="0"/>
    </xf>
    <xf numFmtId="14" fontId="9" fillId="0" borderId="0" xfId="0" applyNumberFormat="1" applyFont="1" applyFill="1" applyAlignment="1" applyProtection="1">
      <alignment horizontal="center" vertical="center"/>
      <protection locked="0"/>
    </xf>
    <xf numFmtId="14" fontId="8" fillId="0" borderId="0" xfId="0" applyNumberFormat="1" applyFont="1" applyFill="1" applyBorder="1" applyAlignment="1" applyProtection="1">
      <alignment horizontal="center" vertical="center" wrapText="1"/>
    </xf>
    <xf numFmtId="4" fontId="8" fillId="0" borderId="0" xfId="0" applyNumberFormat="1" applyFont="1" applyFill="1" applyBorder="1" applyAlignment="1" applyProtection="1">
      <alignment horizontal="center" vertical="center" wrapText="1"/>
    </xf>
    <xf numFmtId="0" fontId="8" fillId="5" borderId="5" xfId="0" applyFont="1" applyFill="1" applyBorder="1" applyAlignment="1" applyProtection="1">
      <alignment horizontal="center" vertical="center" wrapText="1"/>
    </xf>
    <xf numFmtId="0" fontId="8" fillId="5" borderId="6" xfId="0" applyFont="1" applyFill="1" applyBorder="1" applyAlignment="1" applyProtection="1">
      <alignment horizontal="center" vertical="center" wrapText="1"/>
    </xf>
    <xf numFmtId="0" fontId="8" fillId="5" borderId="5" xfId="0" applyFont="1" applyFill="1" applyBorder="1" applyAlignment="1" applyProtection="1">
      <alignment horizontal="center" vertical="center" wrapText="1"/>
      <protection locked="0"/>
    </xf>
    <xf numFmtId="0" fontId="4" fillId="5" borderId="2" xfId="0" applyFont="1" applyFill="1" applyBorder="1" applyAlignment="1" applyProtection="1">
      <alignment horizontal="center" vertical="center" wrapText="1"/>
    </xf>
    <xf numFmtId="0" fontId="4" fillId="5" borderId="3" xfId="0" applyFont="1" applyFill="1" applyBorder="1" applyAlignment="1" applyProtection="1">
      <alignment horizontal="center" vertical="center" wrapText="1"/>
    </xf>
    <xf numFmtId="0" fontId="8" fillId="8" borderId="7" xfId="0" applyFont="1" applyFill="1" applyBorder="1" applyAlignment="1" applyProtection="1">
      <alignment horizontal="center" vertical="center" wrapText="1"/>
      <protection locked="0"/>
    </xf>
    <xf numFmtId="0" fontId="12" fillId="8" borderId="2" xfId="0" applyFont="1" applyFill="1" applyBorder="1" applyAlignment="1" applyProtection="1">
      <alignment horizontal="center" vertical="center" wrapText="1"/>
    </xf>
    <xf numFmtId="0" fontId="12" fillId="8" borderId="3" xfId="0" applyFont="1" applyFill="1" applyBorder="1" applyAlignment="1" applyProtection="1">
      <alignment horizontal="center" vertical="center" wrapText="1"/>
    </xf>
    <xf numFmtId="0" fontId="4" fillId="6" borderId="1" xfId="0" applyFont="1" applyFill="1" applyBorder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/>
    </xf>
    <xf numFmtId="1" fontId="0" fillId="0" borderId="0" xfId="0" applyNumberFormat="1" applyAlignment="1" applyProtection="1">
      <alignment horizontal="center" vertical="center"/>
    </xf>
    <xf numFmtId="0" fontId="12" fillId="0" borderId="8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0" fontId="0" fillId="0" borderId="0" xfId="0" applyFill="1" applyAlignment="1">
      <alignment vertical="center"/>
    </xf>
    <xf numFmtId="1" fontId="0" fillId="0" borderId="0" xfId="0" applyNumberFormat="1" applyFont="1" applyAlignment="1" applyProtection="1">
      <alignment horizontal="left" vertical="center"/>
    </xf>
    <xf numFmtId="0" fontId="8" fillId="6" borderId="7" xfId="0" applyFont="1" applyFill="1" applyBorder="1" applyAlignment="1" applyProtection="1">
      <alignment horizontal="center" vertical="center" wrapText="1"/>
      <protection locked="0"/>
    </xf>
    <xf numFmtId="0" fontId="8" fillId="6" borderId="3" xfId="0" applyFont="1" applyFill="1" applyBorder="1" applyAlignment="1" applyProtection="1">
      <alignment horizontal="left" vertical="center" wrapText="1"/>
    </xf>
    <xf numFmtId="0" fontId="4" fillId="5" borderId="2" xfId="0" applyFont="1" applyFill="1" applyBorder="1" applyAlignment="1" applyProtection="1">
      <alignment horizontal="center" vertical="center" wrapText="1"/>
    </xf>
    <xf numFmtId="0" fontId="4" fillId="5" borderId="23" xfId="0" applyFont="1" applyFill="1" applyBorder="1" applyAlignment="1" applyProtection="1">
      <alignment horizontal="left" vertical="center" wrapText="1"/>
    </xf>
    <xf numFmtId="0" fontId="4" fillId="5" borderId="24" xfId="0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Alignment="1" applyProtection="1">
      <alignment horizontal="center" vertical="center"/>
      <protection locked="0"/>
    </xf>
    <xf numFmtId="1" fontId="8" fillId="14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14" borderId="0" xfId="0" applyFont="1" applyFill="1" applyBorder="1" applyAlignment="1" applyProtection="1">
      <alignment horizontal="center" vertical="center" wrapText="1"/>
      <protection locked="0"/>
    </xf>
    <xf numFmtId="3" fontId="9" fillId="14" borderId="0" xfId="0" applyNumberFormat="1" applyFont="1" applyFill="1" applyAlignment="1" applyProtection="1">
      <alignment horizontal="center" vertical="center"/>
      <protection locked="0"/>
    </xf>
    <xf numFmtId="1" fontId="8" fillId="14" borderId="1" xfId="0" applyNumberFormat="1" applyFont="1" applyFill="1" applyBorder="1" applyAlignment="1" applyProtection="1">
      <alignment horizontal="center" vertical="center" wrapText="1"/>
    </xf>
    <xf numFmtId="2" fontId="0" fillId="0" borderId="30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2" fontId="0" fillId="0" borderId="31" xfId="0" applyNumberFormat="1" applyFill="1" applyBorder="1" applyAlignment="1">
      <alignment horizontal="center" vertical="center"/>
    </xf>
    <xf numFmtId="165" fontId="30" fillId="0" borderId="31" xfId="0" applyNumberFormat="1" applyFont="1" applyFill="1" applyBorder="1" applyAlignment="1">
      <alignment horizontal="center" vertical="center" wrapText="1"/>
    </xf>
    <xf numFmtId="165" fontId="30" fillId="0" borderId="33" xfId="0" applyNumberFormat="1" applyFont="1" applyFill="1" applyBorder="1" applyAlignment="1">
      <alignment horizontal="center" vertical="center" wrapText="1"/>
    </xf>
    <xf numFmtId="165" fontId="30" fillId="0" borderId="35" xfId="0" applyNumberFormat="1" applyFont="1" applyFill="1" applyBorder="1" applyAlignment="1">
      <alignment horizontal="center" vertical="center" wrapText="1"/>
    </xf>
    <xf numFmtId="165" fontId="30" fillId="0" borderId="27" xfId="0" applyNumberFormat="1" applyFont="1" applyFill="1" applyBorder="1" applyAlignment="1">
      <alignment horizontal="center" vertical="center" wrapText="1"/>
    </xf>
    <xf numFmtId="165" fontId="30" fillId="0" borderId="30" xfId="0" applyNumberFormat="1" applyFont="1" applyFill="1" applyBorder="1" applyAlignment="1">
      <alignment horizontal="center" vertical="center" wrapText="1"/>
    </xf>
    <xf numFmtId="165" fontId="30" fillId="0" borderId="35" xfId="0" applyNumberFormat="1" applyFont="1" applyFill="1" applyBorder="1" applyAlignment="1">
      <alignment horizontal="center" vertical="center"/>
    </xf>
    <xf numFmtId="165" fontId="23" fillId="0" borderId="32" xfId="0" applyNumberFormat="1" applyFont="1" applyBorder="1" applyAlignment="1">
      <alignment horizontal="center" vertical="center"/>
    </xf>
    <xf numFmtId="165" fontId="23" fillId="0" borderId="30" xfId="0" applyNumberFormat="1" applyFont="1" applyBorder="1" applyAlignment="1">
      <alignment horizontal="center" vertical="center"/>
    </xf>
    <xf numFmtId="2" fontId="0" fillId="0" borderId="32" xfId="0" applyNumberFormat="1" applyBorder="1" applyAlignment="1">
      <alignment horizontal="center" vertical="center"/>
    </xf>
    <xf numFmtId="2" fontId="0" fillId="0" borderId="36" xfId="0" applyNumberFormat="1" applyBorder="1" applyAlignment="1">
      <alignment horizontal="center" vertical="center"/>
    </xf>
    <xf numFmtId="0" fontId="16" fillId="10" borderId="30" xfId="0" applyFont="1" applyFill="1" applyBorder="1" applyAlignment="1">
      <alignment horizontal="center" vertical="center"/>
    </xf>
    <xf numFmtId="0" fontId="16" fillId="10" borderId="30" xfId="0" applyFont="1" applyFill="1" applyBorder="1" applyAlignment="1">
      <alignment horizontal="center" vertical="center" wrapText="1"/>
    </xf>
    <xf numFmtId="0" fontId="0" fillId="0" borderId="0" xfId="0" applyFill="1"/>
    <xf numFmtId="0" fontId="13" fillId="4" borderId="0" xfId="0" quotePrefix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center" vertical="center"/>
      <protection locked="0"/>
    </xf>
    <xf numFmtId="0" fontId="8" fillId="5" borderId="5" xfId="0" applyFont="1" applyFill="1" applyBorder="1" applyAlignment="1" applyProtection="1">
      <alignment horizontal="center" vertical="center" wrapText="1"/>
      <protection locked="0"/>
    </xf>
    <xf numFmtId="0" fontId="8" fillId="5" borderId="6" xfId="0" applyFont="1" applyFill="1" applyBorder="1" applyAlignment="1" applyProtection="1">
      <alignment horizontal="center" vertical="center" wrapText="1"/>
      <protection locked="0"/>
    </xf>
    <xf numFmtId="0" fontId="8" fillId="5" borderId="7" xfId="0" applyFont="1" applyFill="1" applyBorder="1" applyAlignment="1" applyProtection="1">
      <alignment horizontal="center" vertical="center" wrapText="1"/>
      <protection locked="0"/>
    </xf>
    <xf numFmtId="0" fontId="8" fillId="5" borderId="5" xfId="0" applyFont="1" applyFill="1" applyBorder="1" applyAlignment="1" applyProtection="1">
      <alignment horizontal="center" vertical="center" wrapText="1"/>
    </xf>
    <xf numFmtId="0" fontId="8" fillId="5" borderId="6" xfId="0" applyFont="1" applyFill="1" applyBorder="1" applyAlignment="1" applyProtection="1">
      <alignment horizontal="center" vertical="center" wrapText="1"/>
    </xf>
    <xf numFmtId="0" fontId="8" fillId="5" borderId="7" xfId="0" applyFont="1" applyFill="1" applyBorder="1" applyAlignment="1" applyProtection="1">
      <alignment horizontal="center" vertical="center" wrapText="1"/>
    </xf>
    <xf numFmtId="0" fontId="8" fillId="6" borderId="5" xfId="0" applyFont="1" applyFill="1" applyBorder="1" applyAlignment="1" applyProtection="1">
      <alignment horizontal="center" vertical="center" wrapText="1"/>
      <protection locked="0"/>
    </xf>
    <xf numFmtId="0" fontId="8" fillId="6" borderId="6" xfId="0" applyFont="1" applyFill="1" applyBorder="1" applyAlignment="1" applyProtection="1">
      <alignment horizontal="center" vertical="center" wrapText="1"/>
      <protection locked="0"/>
    </xf>
    <xf numFmtId="0" fontId="8" fillId="6" borderId="7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6" xfId="0" applyFont="1" applyFill="1" applyBorder="1" applyAlignment="1" applyProtection="1">
      <alignment horizontal="center" vertical="center" wrapText="1"/>
    </xf>
    <xf numFmtId="0" fontId="8" fillId="3" borderId="7" xfId="0" applyFont="1" applyFill="1" applyBorder="1" applyAlignment="1" applyProtection="1">
      <alignment horizontal="center" vertical="center" wrapText="1"/>
    </xf>
    <xf numFmtId="0" fontId="8" fillId="5" borderId="5" xfId="0" applyFont="1" applyFill="1" applyBorder="1" applyAlignment="1" applyProtection="1">
      <alignment horizontal="left" vertical="center" wrapText="1"/>
    </xf>
    <xf numFmtId="0" fontId="8" fillId="5" borderId="7" xfId="0" applyFont="1" applyFill="1" applyBorder="1" applyAlignment="1" applyProtection="1">
      <alignment horizontal="left" vertical="center" wrapText="1"/>
    </xf>
    <xf numFmtId="0" fontId="8" fillId="3" borderId="5" xfId="0" applyFont="1" applyFill="1" applyBorder="1" applyAlignment="1" applyProtection="1">
      <alignment horizontal="left" vertical="top" wrapText="1"/>
    </xf>
    <xf numFmtId="0" fontId="8" fillId="3" borderId="6" xfId="0" applyFont="1" applyFill="1" applyBorder="1" applyAlignment="1" applyProtection="1">
      <alignment horizontal="left" vertical="top" wrapText="1"/>
    </xf>
    <xf numFmtId="0" fontId="8" fillId="3" borderId="7" xfId="0" applyFont="1" applyFill="1" applyBorder="1" applyAlignment="1" applyProtection="1">
      <alignment horizontal="left" vertical="top" wrapText="1"/>
    </xf>
    <xf numFmtId="0" fontId="4" fillId="5" borderId="2" xfId="0" applyFont="1" applyFill="1" applyBorder="1" applyAlignment="1" applyProtection="1">
      <alignment horizontal="center" vertical="center" wrapText="1"/>
    </xf>
    <xf numFmtId="0" fontId="4" fillId="5" borderId="4" xfId="0" applyFont="1" applyFill="1" applyBorder="1" applyAlignment="1" applyProtection="1">
      <alignment horizontal="center" vertical="center" wrapText="1"/>
    </xf>
    <xf numFmtId="0" fontId="4" fillId="5" borderId="3" xfId="0" applyFont="1" applyFill="1" applyBorder="1" applyAlignment="1" applyProtection="1">
      <alignment horizontal="center" vertical="center" wrapText="1"/>
    </xf>
    <xf numFmtId="0" fontId="12" fillId="6" borderId="23" xfId="0" applyFont="1" applyFill="1" applyBorder="1" applyAlignment="1" applyProtection="1">
      <alignment horizontal="center" vertical="center" wrapText="1"/>
    </xf>
    <xf numFmtId="0" fontId="12" fillId="6" borderId="8" xfId="0" applyFont="1" applyFill="1" applyBorder="1" applyAlignment="1" applyProtection="1">
      <alignment horizontal="center" vertical="center" wrapText="1"/>
    </xf>
    <xf numFmtId="0" fontId="12" fillId="6" borderId="24" xfId="0" applyFont="1" applyFill="1" applyBorder="1" applyAlignment="1" applyProtection="1">
      <alignment horizontal="center" vertical="center" wrapText="1"/>
    </xf>
    <xf numFmtId="0" fontId="8" fillId="8" borderId="5" xfId="0" applyFont="1" applyFill="1" applyBorder="1" applyAlignment="1" applyProtection="1">
      <alignment horizontal="center" vertical="center" wrapText="1"/>
      <protection locked="0"/>
    </xf>
    <xf numFmtId="0" fontId="8" fillId="8" borderId="6" xfId="0" applyFont="1" applyFill="1" applyBorder="1" applyAlignment="1" applyProtection="1">
      <alignment horizontal="center" vertical="center" wrapText="1"/>
      <protection locked="0"/>
    </xf>
    <xf numFmtId="0" fontId="8" fillId="8" borderId="7" xfId="0" applyFont="1" applyFill="1" applyBorder="1" applyAlignment="1" applyProtection="1">
      <alignment horizontal="center" vertical="center" wrapText="1"/>
      <protection locked="0"/>
    </xf>
    <xf numFmtId="0" fontId="12" fillId="5" borderId="2" xfId="0" applyFont="1" applyFill="1" applyBorder="1" applyAlignment="1" applyProtection="1">
      <alignment horizontal="center" vertical="center" wrapText="1"/>
    </xf>
    <xf numFmtId="0" fontId="12" fillId="5" borderId="4" xfId="0" applyFont="1" applyFill="1" applyBorder="1" applyAlignment="1" applyProtection="1">
      <alignment horizontal="center" vertical="center" wrapText="1"/>
    </xf>
    <xf numFmtId="0" fontId="12" fillId="5" borderId="3" xfId="0" applyFont="1" applyFill="1" applyBorder="1" applyAlignment="1" applyProtection="1">
      <alignment horizontal="center" vertical="center" wrapText="1"/>
    </xf>
    <xf numFmtId="0" fontId="12" fillId="7" borderId="2" xfId="0" applyFont="1" applyFill="1" applyBorder="1" applyAlignment="1" applyProtection="1">
      <alignment horizontal="center" vertical="center" wrapText="1"/>
    </xf>
    <xf numFmtId="0" fontId="12" fillId="7" borderId="4" xfId="0" applyFont="1" applyFill="1" applyBorder="1" applyAlignment="1" applyProtection="1">
      <alignment horizontal="center" vertical="center" wrapText="1"/>
    </xf>
    <xf numFmtId="0" fontId="12" fillId="7" borderId="3" xfId="0" applyFont="1" applyFill="1" applyBorder="1" applyAlignment="1" applyProtection="1">
      <alignment horizontal="center" vertical="center" wrapText="1"/>
    </xf>
    <xf numFmtId="0" fontId="35" fillId="0" borderId="0" xfId="0" applyFont="1" applyAlignment="1" applyProtection="1">
      <alignment horizontal="center" vertical="center" wrapText="1"/>
    </xf>
    <xf numFmtId="0" fontId="35" fillId="0" borderId="0" xfId="0" applyFont="1" applyAlignment="1" applyProtection="1">
      <alignment horizontal="center"/>
    </xf>
    <xf numFmtId="0" fontId="12" fillId="12" borderId="1" xfId="0" applyFont="1" applyFill="1" applyBorder="1" applyAlignment="1" applyProtection="1">
      <alignment horizontal="center" vertical="center"/>
    </xf>
    <xf numFmtId="0" fontId="12" fillId="3" borderId="2" xfId="0" applyFont="1" applyFill="1" applyBorder="1" applyAlignment="1" applyProtection="1">
      <alignment horizontal="center" vertical="center" wrapText="1"/>
    </xf>
    <xf numFmtId="0" fontId="12" fillId="3" borderId="4" xfId="0" applyFont="1" applyFill="1" applyBorder="1" applyAlignment="1" applyProtection="1">
      <alignment horizontal="center" vertical="center" wrapText="1"/>
    </xf>
    <xf numFmtId="0" fontId="12" fillId="3" borderId="3" xfId="0" applyFont="1" applyFill="1" applyBorder="1" applyAlignment="1" applyProtection="1">
      <alignment horizontal="center" vertical="center" wrapText="1"/>
    </xf>
    <xf numFmtId="0" fontId="12" fillId="5" borderId="1" xfId="0" applyFont="1" applyFill="1" applyBorder="1" applyAlignment="1" applyProtection="1">
      <alignment horizontal="center" vertical="center" wrapText="1"/>
    </xf>
    <xf numFmtId="0" fontId="12" fillId="11" borderId="1" xfId="0" applyFont="1" applyFill="1" applyBorder="1" applyAlignment="1" applyProtection="1">
      <alignment horizontal="center" vertical="center"/>
    </xf>
    <xf numFmtId="0" fontId="12" fillId="8" borderId="2" xfId="0" applyFont="1" applyFill="1" applyBorder="1" applyAlignment="1" applyProtection="1">
      <alignment horizontal="center" vertical="center" wrapText="1"/>
    </xf>
    <xf numFmtId="0" fontId="12" fillId="8" borderId="4" xfId="0" applyFont="1" applyFill="1" applyBorder="1" applyAlignment="1" applyProtection="1">
      <alignment horizontal="center" vertical="center" wrapText="1"/>
    </xf>
    <xf numFmtId="0" fontId="12" fillId="8" borderId="3" xfId="0" applyFont="1" applyFill="1" applyBorder="1" applyAlignment="1" applyProtection="1">
      <alignment horizontal="center" vertical="center" wrapText="1"/>
    </xf>
    <xf numFmtId="0" fontId="8" fillId="7" borderId="5" xfId="0" applyFont="1" applyFill="1" applyBorder="1" applyAlignment="1" applyProtection="1">
      <alignment horizontal="center" vertical="center" wrapText="1"/>
      <protection locked="0"/>
    </xf>
    <xf numFmtId="0" fontId="8" fillId="7" borderId="6" xfId="0" applyFont="1" applyFill="1" applyBorder="1" applyAlignment="1" applyProtection="1">
      <alignment horizontal="center" vertical="center" wrapText="1"/>
      <protection locked="0"/>
    </xf>
    <xf numFmtId="0" fontId="8" fillId="7" borderId="7" xfId="0" applyFont="1" applyFill="1" applyBorder="1" applyAlignment="1" applyProtection="1">
      <alignment horizontal="center" vertical="center" wrapText="1"/>
      <protection locked="0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2" fontId="24" fillId="0" borderId="11" xfId="0" applyNumberFormat="1" applyFont="1" applyFill="1" applyBorder="1" applyAlignment="1">
      <alignment horizontal="center" vertical="center" wrapText="1"/>
    </xf>
    <xf numFmtId="2" fontId="24" fillId="0" borderId="1" xfId="0" applyNumberFormat="1" applyFont="1" applyFill="1" applyBorder="1" applyAlignment="1">
      <alignment horizontal="center" vertical="center" wrapText="1"/>
    </xf>
    <xf numFmtId="2" fontId="24" fillId="0" borderId="14" xfId="0" applyNumberFormat="1" applyFont="1" applyFill="1" applyBorder="1" applyAlignment="1">
      <alignment horizontal="center" vertical="center" wrapText="1"/>
    </xf>
    <xf numFmtId="165" fontId="24" fillId="0" borderId="11" xfId="0" applyNumberFormat="1" applyFont="1" applyFill="1" applyBorder="1" applyAlignment="1">
      <alignment horizontal="center" vertical="center"/>
    </xf>
    <xf numFmtId="165" fontId="24" fillId="0" borderId="1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171" fontId="20" fillId="0" borderId="1" xfId="0" applyNumberFormat="1" applyFont="1" applyFill="1" applyBorder="1" applyAlignment="1">
      <alignment vertical="center" wrapText="1"/>
    </xf>
    <xf numFmtId="0" fontId="20" fillId="0" borderId="14" xfId="0" applyFont="1" applyFill="1" applyBorder="1" applyAlignment="1">
      <alignment vertical="center" wrapText="1"/>
    </xf>
    <xf numFmtId="168" fontId="20" fillId="0" borderId="1" xfId="1" applyNumberFormat="1" applyFont="1" applyFill="1" applyBorder="1" applyAlignment="1">
      <alignment vertical="center" wrapText="1"/>
    </xf>
    <xf numFmtId="168" fontId="20" fillId="0" borderId="14" xfId="1" applyNumberFormat="1" applyFont="1" applyFill="1" applyBorder="1" applyAlignment="1">
      <alignment vertical="center" wrapText="1"/>
    </xf>
    <xf numFmtId="169" fontId="20" fillId="0" borderId="1" xfId="0" applyNumberFormat="1" applyFont="1" applyFill="1" applyBorder="1" applyAlignment="1">
      <alignment vertical="center" wrapText="1"/>
    </xf>
    <xf numFmtId="0" fontId="20" fillId="0" borderId="1" xfId="0" applyFont="1" applyFill="1" applyBorder="1" applyAlignment="1">
      <alignment vertical="center" wrapText="1"/>
    </xf>
    <xf numFmtId="168" fontId="20" fillId="0" borderId="1" xfId="0" applyNumberFormat="1" applyFont="1" applyFill="1" applyBorder="1" applyAlignment="1">
      <alignment vertical="center" wrapText="1"/>
    </xf>
    <xf numFmtId="168" fontId="20" fillId="0" borderId="14" xfId="0" applyNumberFormat="1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4" xfId="0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169" fontId="0" fillId="0" borderId="1" xfId="1" applyNumberFormat="1" applyFont="1" applyFill="1" applyBorder="1" applyAlignment="1">
      <alignment horizontal="center" vertical="center" wrapText="1"/>
    </xf>
    <xf numFmtId="168" fontId="0" fillId="0" borderId="1" xfId="1" applyNumberFormat="1" applyFont="1" applyFill="1" applyBorder="1" applyAlignment="1">
      <alignment horizontal="center" vertical="center" wrapText="1"/>
    </xf>
    <xf numFmtId="169" fontId="0" fillId="0" borderId="14" xfId="1" applyNumberFormat="1" applyFont="1" applyFill="1" applyBorder="1" applyAlignment="1">
      <alignment horizontal="center" vertical="center" wrapText="1"/>
    </xf>
    <xf numFmtId="168" fontId="0" fillId="0" borderId="14" xfId="1" applyNumberFormat="1" applyFont="1" applyFill="1" applyBorder="1" applyAlignment="1">
      <alignment horizontal="center" vertical="center" wrapText="1"/>
    </xf>
    <xf numFmtId="169" fontId="0" fillId="0" borderId="1" xfId="1" applyNumberFormat="1" applyFont="1" applyFill="1" applyBorder="1" applyAlignment="1">
      <alignment horizontal="left" vertical="center" wrapText="1"/>
    </xf>
    <xf numFmtId="169" fontId="0" fillId="0" borderId="14" xfId="1" applyNumberFormat="1" applyFont="1" applyFill="1" applyBorder="1" applyAlignment="1">
      <alignment horizontal="left" vertical="center" wrapText="1"/>
    </xf>
    <xf numFmtId="168" fontId="20" fillId="0" borderId="1" xfId="0" applyNumberFormat="1" applyFont="1" applyFill="1" applyBorder="1" applyAlignment="1">
      <alignment horizontal="center" vertical="center" wrapText="1"/>
    </xf>
    <xf numFmtId="168" fontId="20" fillId="0" borderId="14" xfId="0" applyNumberFormat="1" applyFont="1" applyFill="1" applyBorder="1" applyAlignment="1">
      <alignment horizontal="center" vertical="center" wrapText="1"/>
    </xf>
    <xf numFmtId="169" fontId="20" fillId="0" borderId="1" xfId="0" applyNumberFormat="1" applyFont="1" applyFill="1" applyBorder="1" applyAlignment="1">
      <alignment horizontal="center" vertical="center" wrapText="1"/>
    </xf>
    <xf numFmtId="0" fontId="24" fillId="0" borderId="16" xfId="0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2" fontId="24" fillId="0" borderId="16" xfId="0" applyNumberFormat="1" applyFont="1" applyFill="1" applyBorder="1" applyAlignment="1">
      <alignment horizontal="center" vertical="center"/>
    </xf>
    <xf numFmtId="2" fontId="24" fillId="0" borderId="6" xfId="0" applyNumberFormat="1" applyFont="1" applyFill="1" applyBorder="1" applyAlignment="1">
      <alignment horizontal="center" vertical="center"/>
    </xf>
    <xf numFmtId="2" fontId="24" fillId="0" borderId="20" xfId="0" applyNumberFormat="1" applyFont="1" applyFill="1" applyBorder="1" applyAlignment="1">
      <alignment horizontal="center" vertical="center"/>
    </xf>
    <xf numFmtId="165" fontId="24" fillId="0" borderId="16" xfId="0" applyNumberFormat="1" applyFont="1" applyFill="1" applyBorder="1" applyAlignment="1">
      <alignment horizontal="center" vertical="center"/>
    </xf>
    <xf numFmtId="165" fontId="24" fillId="0" borderId="6" xfId="0" applyNumberFormat="1" applyFont="1" applyFill="1" applyBorder="1" applyAlignment="1">
      <alignment horizontal="center" vertical="center"/>
    </xf>
    <xf numFmtId="165" fontId="24" fillId="0" borderId="20" xfId="0" applyNumberFormat="1" applyFont="1" applyFill="1" applyBorder="1" applyAlignment="1">
      <alignment horizontal="center" vertical="center"/>
    </xf>
    <xf numFmtId="168" fontId="0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9" fontId="0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20" fillId="0" borderId="5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170" fontId="20" fillId="0" borderId="5" xfId="0" applyNumberFormat="1" applyFont="1" applyFill="1" applyBorder="1" applyAlignment="1">
      <alignment horizontal="center" vertical="center"/>
    </xf>
    <xf numFmtId="170" fontId="20" fillId="0" borderId="6" xfId="0" applyNumberFormat="1" applyFont="1" applyFill="1" applyBorder="1" applyAlignment="1">
      <alignment horizontal="center" vertical="center"/>
    </xf>
    <xf numFmtId="170" fontId="20" fillId="0" borderId="7" xfId="0" applyNumberFormat="1" applyFont="1" applyFill="1" applyBorder="1" applyAlignment="1">
      <alignment horizontal="center" vertical="center"/>
    </xf>
    <xf numFmtId="168" fontId="20" fillId="0" borderId="5" xfId="0" applyNumberFormat="1" applyFont="1" applyFill="1" applyBorder="1" applyAlignment="1">
      <alignment horizontal="center" vertical="center"/>
    </xf>
    <xf numFmtId="168" fontId="20" fillId="0" borderId="6" xfId="0" applyNumberFormat="1" applyFont="1" applyFill="1" applyBorder="1" applyAlignment="1">
      <alignment horizontal="center" vertical="center"/>
    </xf>
    <xf numFmtId="168" fontId="20" fillId="0" borderId="7" xfId="0" applyNumberFormat="1" applyFont="1" applyFill="1" applyBorder="1" applyAlignment="1">
      <alignment horizontal="center" vertical="center"/>
    </xf>
    <xf numFmtId="170" fontId="20" fillId="0" borderId="1" xfId="0" applyNumberFormat="1" applyFont="1" applyFill="1" applyBorder="1" applyAlignment="1">
      <alignment horizontal="center" vertical="center"/>
    </xf>
    <xf numFmtId="168" fontId="20" fillId="0" borderId="1" xfId="0" applyNumberFormat="1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3" fillId="13" borderId="10" xfId="0" applyFont="1" applyFill="1" applyBorder="1" applyAlignment="1">
      <alignment horizontal="center" vertical="center"/>
    </xf>
    <xf numFmtId="0" fontId="23" fillId="13" borderId="13" xfId="0" applyFont="1" applyFill="1" applyBorder="1" applyAlignment="1">
      <alignment horizontal="center" vertical="center"/>
    </xf>
    <xf numFmtId="0" fontId="18" fillId="13" borderId="11" xfId="0" applyFont="1" applyFill="1" applyBorder="1" applyAlignment="1">
      <alignment horizontal="center" vertical="center"/>
    </xf>
    <xf numFmtId="0" fontId="18" fillId="13" borderId="12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 wrapText="1"/>
    </xf>
    <xf numFmtId="165" fontId="20" fillId="0" borderId="11" xfId="0" applyNumberFormat="1" applyFont="1" applyFill="1" applyBorder="1" applyAlignment="1">
      <alignment horizontal="center" vertical="center" wrapText="1"/>
    </xf>
    <xf numFmtId="165" fontId="20" fillId="0" borderId="1" xfId="0" applyNumberFormat="1" applyFont="1" applyFill="1" applyBorder="1" applyAlignment="1">
      <alignment horizontal="center" vertical="center" wrapText="1"/>
    </xf>
    <xf numFmtId="168" fontId="20" fillId="0" borderId="11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169" fontId="0" fillId="0" borderId="16" xfId="1" applyNumberFormat="1" applyFont="1" applyFill="1" applyBorder="1" applyAlignment="1">
      <alignment horizontal="center" vertical="center"/>
    </xf>
    <xf numFmtId="169" fontId="0" fillId="0" borderId="7" xfId="1" applyNumberFormat="1" applyFont="1" applyFill="1" applyBorder="1" applyAlignment="1">
      <alignment horizontal="center" vertical="center"/>
    </xf>
    <xf numFmtId="168" fontId="0" fillId="0" borderId="6" xfId="1" applyNumberFormat="1" applyFont="1" applyFill="1" applyBorder="1" applyAlignment="1">
      <alignment horizontal="center" vertical="center"/>
    </xf>
    <xf numFmtId="168" fontId="0" fillId="0" borderId="7" xfId="1" applyNumberFormat="1" applyFont="1" applyFill="1" applyBorder="1" applyAlignment="1">
      <alignment horizontal="center" vertical="center"/>
    </xf>
    <xf numFmtId="169" fontId="0" fillId="0" borderId="2" xfId="1" applyNumberFormat="1" applyFont="1" applyFill="1" applyBorder="1" applyAlignment="1">
      <alignment horizontal="center" vertical="center"/>
    </xf>
    <xf numFmtId="168" fontId="0" fillId="0" borderId="5" xfId="1" applyNumberFormat="1" applyFont="1" applyFill="1" applyBorder="1" applyAlignment="1">
      <alignment horizontal="center" vertical="center"/>
    </xf>
    <xf numFmtId="173" fontId="13" fillId="0" borderId="0" xfId="0" applyNumberFormat="1" applyFont="1" applyAlignment="1" applyProtection="1">
      <alignment horizontal="center" vertical="center"/>
    </xf>
    <xf numFmtId="0" fontId="0" fillId="0" borderId="0" xfId="0" applyBorder="1" applyAlignment="1">
      <alignment horizontal="left" vertical="center"/>
    </xf>
    <xf numFmtId="169" fontId="0" fillId="0" borderId="0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29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0" fillId="0" borderId="39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37" xfId="0" applyBorder="1" applyAlignment="1" applyProtection="1">
      <alignment horizontal="center"/>
      <protection locked="0"/>
    </xf>
    <xf numFmtId="0" fontId="23" fillId="9" borderId="27" xfId="0" applyFont="1" applyFill="1" applyBorder="1" applyAlignment="1">
      <alignment horizontal="left" vertical="top"/>
    </xf>
    <xf numFmtId="0" fontId="23" fillId="17" borderId="27" xfId="0" applyFont="1" applyFill="1" applyBorder="1" applyAlignment="1">
      <alignment horizontal="left" vertical="center"/>
    </xf>
    <xf numFmtId="0" fontId="37" fillId="0" borderId="0" xfId="0" applyFont="1" applyAlignment="1">
      <alignment horizontal="center"/>
    </xf>
    <xf numFmtId="0" fontId="0" fillId="0" borderId="28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38" xfId="0" applyBorder="1" applyAlignment="1" applyProtection="1">
      <alignment horizontal="center"/>
      <protection locked="0"/>
    </xf>
    <xf numFmtId="0" fontId="0" fillId="0" borderId="31" xfId="0" applyFill="1" applyBorder="1" applyAlignment="1">
      <alignment horizontal="left" vertical="center" wrapText="1"/>
    </xf>
    <xf numFmtId="0" fontId="0" fillId="0" borderId="33" xfId="0" applyFill="1" applyBorder="1" applyAlignment="1">
      <alignment horizontal="left" vertical="center" wrapText="1"/>
    </xf>
    <xf numFmtId="0" fontId="16" fillId="10" borderId="30" xfId="0" applyFont="1" applyFill="1" applyBorder="1" applyAlignment="1">
      <alignment horizontal="center" vertical="center"/>
    </xf>
    <xf numFmtId="0" fontId="16" fillId="10" borderId="30" xfId="0" applyFont="1" applyFill="1" applyBorder="1" applyAlignment="1">
      <alignment horizontal="center" vertical="center" wrapText="1"/>
    </xf>
    <xf numFmtId="0" fontId="0" fillId="0" borderId="35" xfId="0" applyFill="1" applyBorder="1" applyAlignment="1">
      <alignment horizontal="left" vertical="center" wrapText="1"/>
    </xf>
    <xf numFmtId="0" fontId="23" fillId="15" borderId="27" xfId="0" applyFont="1" applyFill="1" applyBorder="1" applyAlignment="1">
      <alignment horizontal="left" vertical="center"/>
    </xf>
    <xf numFmtId="0" fontId="30" fillId="0" borderId="31" xfId="0" applyFont="1" applyFill="1" applyBorder="1" applyAlignment="1">
      <alignment horizontal="center" vertical="center" wrapText="1"/>
    </xf>
    <xf numFmtId="0" fontId="30" fillId="0" borderId="33" xfId="0" applyFont="1" applyFill="1" applyBorder="1" applyAlignment="1">
      <alignment horizontal="center" vertical="center" wrapText="1"/>
    </xf>
    <xf numFmtId="0" fontId="30" fillId="0" borderId="35" xfId="0" applyFont="1" applyFill="1" applyBorder="1" applyAlignment="1">
      <alignment horizontal="center" vertical="center" wrapText="1"/>
    </xf>
    <xf numFmtId="0" fontId="30" fillId="0" borderId="31" xfId="0" applyFont="1" applyFill="1" applyBorder="1" applyAlignment="1">
      <alignment horizontal="center" vertical="center"/>
    </xf>
    <xf numFmtId="0" fontId="30" fillId="0" borderId="35" xfId="0" applyFont="1" applyFill="1" applyBorder="1" applyAlignment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</xf>
    <xf numFmtId="0" fontId="13" fillId="16" borderId="23" xfId="0" applyFont="1" applyFill="1" applyBorder="1" applyAlignment="1" applyProtection="1">
      <alignment horizontal="center"/>
    </xf>
    <xf numFmtId="0" fontId="13" fillId="16" borderId="8" xfId="0" applyFont="1" applyFill="1" applyBorder="1" applyAlignment="1" applyProtection="1">
      <alignment horizontal="center"/>
    </xf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3" fillId="0" borderId="0" xfId="0" applyFont="1" applyAlignment="1" applyProtection="1">
      <alignment horizontal="center"/>
    </xf>
    <xf numFmtId="0" fontId="13" fillId="0" borderId="0" xfId="0" applyFont="1" applyAlignment="1" applyProtection="1">
      <alignment horizontal="left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3" fillId="16" borderId="2" xfId="0" applyFont="1" applyFill="1" applyBorder="1" applyAlignment="1">
      <alignment horizontal="center"/>
    </xf>
    <xf numFmtId="0" fontId="13" fillId="16" borderId="4" xfId="0" applyFont="1" applyFill="1" applyBorder="1" applyAlignment="1">
      <alignment horizontal="center"/>
    </xf>
    <xf numFmtId="0" fontId="13" fillId="16" borderId="3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2" fillId="0" borderId="1" xfId="0" applyFont="1" applyBorder="1" applyAlignment="1">
      <alignment horizontal="left"/>
    </xf>
    <xf numFmtId="0" fontId="0" fillId="0" borderId="7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2" xfId="0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</cellXfs>
  <cellStyles count="3">
    <cellStyle name="Comma" xfId="2" builtinId="3"/>
    <cellStyle name="Comma [0] 2" xfId="1" xr:uid="{00000000-0005-0000-0000-000001000000}"/>
    <cellStyle name="Normal" xfId="0" builtinId="0"/>
  </cellStyles>
  <dxfs count="3">
    <dxf>
      <font>
        <color rgb="FFFF0000"/>
      </font>
    </dxf>
    <dxf>
      <font>
        <color rgb="FFFFC000"/>
      </font>
    </dxf>
    <dxf>
      <font>
        <color theme="4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INDIKATOR</a:t>
            </a:r>
            <a:r>
              <a:rPr lang="en-US" baseline="0"/>
              <a:t> KESEHATAN</a:t>
            </a:r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63500"/>
          </c:spPr>
          <c:marker>
            <c:symbol val="square"/>
            <c:size val="10"/>
            <c:spPr>
              <a:solidFill>
                <a:schemeClr val="accent4"/>
              </a:solidFill>
              <a:ln>
                <a:solidFill>
                  <a:srgbClr val="FF0000"/>
                </a:solidFill>
              </a:ln>
            </c:spPr>
          </c:marker>
          <c:dLbls>
            <c:dLbl>
              <c:idx val="1"/>
              <c:layout>
                <c:manualLayout>
                  <c:x val="-3.8786035593125587E-2"/>
                  <c:y val="3.73510436635571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A21-405D-AA62-FA4B4F5D0BF3}"/>
                </c:ext>
              </c:extLst>
            </c:dLbl>
            <c:spPr>
              <a:solidFill>
                <a:schemeClr val="accent6"/>
              </a:solidFill>
            </c:spPr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('Grafik IKS'!$B$3,'Grafik IKS'!$B$5,'Grafik IKS'!$B$7)</c:f>
              <c:strCache>
                <c:ptCount val="3"/>
                <c:pt idx="0">
                  <c:v>Pelayanan Kesehatan</c:v>
                </c:pt>
                <c:pt idx="1">
                  <c:v>Keberdayaan Masyarakat Untuk Kesehatan</c:v>
                </c:pt>
                <c:pt idx="2">
                  <c:v>Jaminan Kesehatan</c:v>
                </c:pt>
              </c:strCache>
            </c:strRef>
          </c:cat>
          <c:val>
            <c:numRef>
              <c:f>('Grafik IKS'!$C$3,'Grafik IKS'!$C$5,'Grafik IKS'!$C$7)</c:f>
              <c:numCache>
                <c:formatCode>0.00</c:formatCode>
                <c:ptCount val="3"/>
                <c:pt idx="0">
                  <c:v>0.5</c:v>
                </c:pt>
                <c:pt idx="1">
                  <c:v>1</c:v>
                </c:pt>
                <c:pt idx="2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21-405D-AA62-FA4B4F5D0B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0838448"/>
        <c:axId val="220840408"/>
      </c:radarChart>
      <c:catAx>
        <c:axId val="220838448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6350">
            <a:noFill/>
          </a:ln>
        </c:spPr>
        <c:txPr>
          <a:bodyPr rot="0"/>
          <a:lstStyle/>
          <a:p>
            <a:pPr>
              <a:defRPr sz="1200" b="1"/>
            </a:pPr>
            <a:endParaRPr lang="en-US"/>
          </a:p>
        </c:txPr>
        <c:crossAx val="220840408"/>
        <c:crosses val="autoZero"/>
        <c:auto val="1"/>
        <c:lblAlgn val="ctr"/>
        <c:lblOffset val="100"/>
        <c:noMultiLvlLbl val="0"/>
      </c:catAx>
      <c:valAx>
        <c:axId val="220840408"/>
        <c:scaling>
          <c:orientation val="minMax"/>
        </c:scaling>
        <c:delete val="1"/>
        <c:axPos val="l"/>
        <c:majorGridlines/>
        <c:numFmt formatCode="0.00" sourceLinked="1"/>
        <c:majorTickMark val="none"/>
        <c:minorTickMark val="none"/>
        <c:tickLblPos val="nextTo"/>
        <c:crossAx val="2208384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KESEHATAN</a:t>
            </a:r>
          </a:p>
          <a:p>
            <a:pPr>
              <a:defRPr/>
            </a:pPr>
            <a:r>
              <a:rPr lang="en-US"/>
              <a:t>Per Item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clustered"/>
        <c:varyColors val="0"/>
        <c:ser>
          <c:idx val="0"/>
          <c:order val="0"/>
          <c:invertIfNegative val="0"/>
          <c:dLbls>
            <c:spPr>
              <a:solidFill>
                <a:schemeClr val="accent6"/>
              </a:solidFill>
              <a:ln>
                <a:noFill/>
              </a:ln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'Grafik IKS'!$D$3:$D$7</c:f>
              <c:strCache>
                <c:ptCount val="5"/>
                <c:pt idx="0">
                  <c:v> Jarak ke sarana kesehatan terdekat</c:v>
                </c:pt>
                <c:pt idx="1">
                  <c:v>Ketersediaan Tenaga Kesehatan(bidan,Dokter dan Nakes Lain)</c:v>
                </c:pt>
                <c:pt idx="2">
                  <c:v>Askes ke poskesdes, polindes atau posyandu</c:v>
                </c:pt>
                <c:pt idx="3">
                  <c:v>Tingkat Aktivitas Posyandu</c:v>
                </c:pt>
                <c:pt idx="4">
                  <c:v>Tingkat Kepesertaan BPJS</c:v>
                </c:pt>
              </c:strCache>
            </c:strRef>
          </c:cat>
          <c:val>
            <c:numRef>
              <c:f>'Grafik IKS'!$E$3:$E$7</c:f>
              <c:numCache>
                <c:formatCode>0.00</c:formatCode>
                <c:ptCount val="5"/>
                <c:pt idx="0">
                  <c:v>1</c:v>
                </c:pt>
                <c:pt idx="1">
                  <c:v>0.33333333333333331</c:v>
                </c:pt>
                <c:pt idx="2">
                  <c:v>1</c:v>
                </c:pt>
                <c:pt idx="3">
                  <c:v>1</c:v>
                </c:pt>
                <c:pt idx="4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CD-43D9-9543-B36EC1238E5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357117992"/>
        <c:axId val="357116032"/>
        <c:axId val="0"/>
      </c:bar3DChart>
      <c:catAx>
        <c:axId val="357117992"/>
        <c:scaling>
          <c:orientation val="minMax"/>
        </c:scaling>
        <c:delete val="0"/>
        <c:axPos val="l"/>
        <c:majorGridlines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1400" b="1"/>
            </a:pPr>
            <a:endParaRPr lang="en-US"/>
          </a:p>
        </c:txPr>
        <c:crossAx val="357116032"/>
        <c:crosses val="autoZero"/>
        <c:auto val="1"/>
        <c:lblAlgn val="ctr"/>
        <c:lblOffset val="100"/>
        <c:noMultiLvlLbl val="0"/>
      </c:catAx>
      <c:valAx>
        <c:axId val="357116032"/>
        <c:scaling>
          <c:orientation val="minMax"/>
        </c:scaling>
        <c:delete val="1"/>
        <c:axPos val="b"/>
        <c:numFmt formatCode="0.00" sourceLinked="1"/>
        <c:majorTickMark val="none"/>
        <c:minorTickMark val="none"/>
        <c:tickLblPos val="nextTo"/>
        <c:crossAx val="357117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INDIKATOR PENDIDIKAN</a:t>
            </a:r>
          </a:p>
          <a:p>
            <a:pPr>
              <a:defRPr/>
            </a:pPr>
            <a:endParaRPr lang="en-US"/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63500"/>
          </c:spPr>
          <c:marker>
            <c:symbol val="diamond"/>
            <c:size val="10"/>
            <c:spPr>
              <a:solidFill>
                <a:schemeClr val="accent2"/>
              </a:solidFill>
              <a:ln w="6350">
                <a:solidFill>
                  <a:srgbClr val="FF0000"/>
                </a:solidFill>
              </a:ln>
            </c:spPr>
          </c:marker>
          <c:dLbls>
            <c:dLbl>
              <c:idx val="0"/>
              <c:layout>
                <c:manualLayout>
                  <c:x val="3.3694344802189654E-3"/>
                  <c:y val="-1.33333368328968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0C-47EA-BB59-37307A9D12F3}"/>
                </c:ext>
              </c:extLst>
            </c:dLbl>
            <c:dLbl>
              <c:idx val="1"/>
              <c:layout>
                <c:manualLayout>
                  <c:x val="-3.2223359762582303E-2"/>
                  <c:y val="4.33332402297307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20C-47EA-BB59-37307A9D12F3}"/>
                </c:ext>
              </c:extLst>
            </c:dLbl>
            <c:dLbl>
              <c:idx val="2"/>
              <c:layout>
                <c:manualLayout>
                  <c:x val="5.7494149792433863E-2"/>
                  <c:y val="3.29076209266982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20C-47EA-BB59-37307A9D12F3}"/>
                </c:ext>
              </c:extLst>
            </c:dLbl>
            <c:spPr>
              <a:solidFill>
                <a:schemeClr val="accent6"/>
              </a:solidFill>
            </c:spPr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('Grafik IKS'!$B$10,'Grafik IKS'!$B$13,'Grafik IKS'!$B$16)</c:f>
              <c:strCache>
                <c:ptCount val="3"/>
                <c:pt idx="0">
                  <c:v>Akses Pendidikan Dasar-Menengah</c:v>
                </c:pt>
                <c:pt idx="1">
                  <c:v>Akses Pendidikan Non Formal</c:v>
                </c:pt>
                <c:pt idx="2">
                  <c:v>Akses Pengetahuan Masyarakat</c:v>
                </c:pt>
              </c:strCache>
            </c:strRef>
          </c:cat>
          <c:val>
            <c:numRef>
              <c:f>('Grafik IKS'!$C$10,'Grafik IKS'!$C$13,'Grafik IKS'!$C$16)</c:f>
              <c:numCache>
                <c:formatCode>0.00</c:formatCode>
                <c:ptCount val="3"/>
                <c:pt idx="0">
                  <c:v>0.73333333333333328</c:v>
                </c:pt>
                <c:pt idx="1">
                  <c:v>0.46666666666666667</c:v>
                </c:pt>
                <c:pt idx="2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0C-47EA-BB59-37307A9D12F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357118384"/>
        <c:axId val="357115248"/>
      </c:radarChart>
      <c:catAx>
        <c:axId val="357118384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6350">
            <a:noFill/>
          </a:ln>
        </c:spPr>
        <c:txPr>
          <a:bodyPr/>
          <a:lstStyle/>
          <a:p>
            <a:pPr>
              <a:defRPr sz="1200" b="1"/>
            </a:pPr>
            <a:endParaRPr lang="en-US"/>
          </a:p>
        </c:txPr>
        <c:crossAx val="357115248"/>
        <c:crosses val="autoZero"/>
        <c:auto val="1"/>
        <c:lblAlgn val="ctr"/>
        <c:lblOffset val="100"/>
        <c:noMultiLvlLbl val="0"/>
      </c:catAx>
      <c:valAx>
        <c:axId val="357115248"/>
        <c:scaling>
          <c:orientation val="minMax"/>
        </c:scaling>
        <c:delete val="1"/>
        <c:axPos val="l"/>
        <c:majorGridlines/>
        <c:numFmt formatCode="0.00" sourceLinked="1"/>
        <c:majorTickMark val="none"/>
        <c:minorTickMark val="none"/>
        <c:tickLblPos val="nextTo"/>
        <c:crossAx val="3571183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PENDIDIKAN</a:t>
            </a:r>
          </a:p>
          <a:p>
            <a:pPr>
              <a:defRPr/>
            </a:pPr>
            <a:r>
              <a:rPr lang="en-US"/>
              <a:t>Per Item</a:t>
            </a:r>
          </a:p>
          <a:p>
            <a:pPr>
              <a:defRPr/>
            </a:pPr>
            <a:endParaRPr lang="en-US" sz="900"/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clustered"/>
        <c:varyColors val="0"/>
        <c:ser>
          <c:idx val="0"/>
          <c:order val="0"/>
          <c:invertIfNegative val="0"/>
          <c:dLbls>
            <c:spPr>
              <a:solidFill>
                <a:schemeClr val="accent6"/>
              </a:solidFill>
            </c:spPr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'Grafik IKS'!$D$10:$D$16</c:f>
              <c:strCache>
                <c:ptCount val="7"/>
                <c:pt idx="0">
                  <c:v>Akses Pendidikan Dasar SD/MI &lt; 3 KM</c:v>
                </c:pt>
                <c:pt idx="1">
                  <c:v>Akses Pendidikan SMP/MTs &lt; 6 KM</c:v>
                </c:pt>
                <c:pt idx="2">
                  <c:v>Akses Pendidikan SMA/SMK/MA &lt; 6 KM</c:v>
                </c:pt>
                <c:pt idx="3">
                  <c:v>Kegiatan PAUD</c:v>
                </c:pt>
                <c:pt idx="4">
                  <c:v> Kegiatan PKBM/Paket A-B-C </c:v>
                </c:pt>
                <c:pt idx="5">
                  <c:v>Kegiatan Kursus</c:v>
                </c:pt>
                <c:pt idx="6">
                  <c:v>Taman Bacaan Masyarakat atau Perpusatkaan Desa</c:v>
                </c:pt>
              </c:strCache>
            </c:strRef>
          </c:cat>
          <c:val>
            <c:numRef>
              <c:f>'Grafik IKS'!$E$10:$E$16</c:f>
              <c:numCache>
                <c:formatCode>0.00</c:formatCode>
                <c:ptCount val="7"/>
                <c:pt idx="0">
                  <c:v>1</c:v>
                </c:pt>
                <c:pt idx="1">
                  <c:v>1</c:v>
                </c:pt>
                <c:pt idx="2">
                  <c:v>0.2</c:v>
                </c:pt>
                <c:pt idx="3">
                  <c:v>1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FE-4D6A-9090-96A9E558D15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shape val="box"/>
        <c:axId val="357121128"/>
        <c:axId val="357120344"/>
        <c:axId val="0"/>
      </c:bar3DChart>
      <c:catAx>
        <c:axId val="357121128"/>
        <c:scaling>
          <c:orientation val="minMax"/>
        </c:scaling>
        <c:delete val="0"/>
        <c:axPos val="l"/>
        <c:majorGridlines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1200" b="1"/>
            </a:pPr>
            <a:endParaRPr lang="en-US"/>
          </a:p>
        </c:txPr>
        <c:crossAx val="357120344"/>
        <c:crosses val="autoZero"/>
        <c:auto val="1"/>
        <c:lblAlgn val="ctr"/>
        <c:lblOffset val="100"/>
        <c:noMultiLvlLbl val="0"/>
      </c:catAx>
      <c:valAx>
        <c:axId val="357120344"/>
        <c:scaling>
          <c:orientation val="minMax"/>
        </c:scaling>
        <c:delete val="1"/>
        <c:axPos val="b"/>
        <c:numFmt formatCode="0.00" sourceLinked="1"/>
        <c:majorTickMark val="none"/>
        <c:minorTickMark val="none"/>
        <c:tickLblPos val="nextTo"/>
        <c:crossAx val="3571211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INDIKATOR</a:t>
            </a:r>
            <a:r>
              <a:rPr lang="en-US" baseline="0"/>
              <a:t> </a:t>
            </a:r>
            <a:r>
              <a:rPr lang="en-US"/>
              <a:t>MODAL SOSIAL</a:t>
            </a:r>
          </a:p>
          <a:p>
            <a:pPr>
              <a:defRPr/>
            </a:pPr>
            <a:endParaRPr lang="en-US" sz="1200"/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63500"/>
          </c:spPr>
          <c:marker>
            <c:symbol val="triangle"/>
            <c:size val="10"/>
            <c:spPr>
              <a:solidFill>
                <a:schemeClr val="accent4"/>
              </a:solidFill>
              <a:ln w="9525">
                <a:solidFill>
                  <a:srgbClr val="FF0000"/>
                </a:solidFill>
              </a:ln>
            </c:spPr>
          </c:marker>
          <c:dLbls>
            <c:dLbl>
              <c:idx val="0"/>
              <c:layout>
                <c:manualLayout>
                  <c:x val="3.5423544809025737E-2"/>
                  <c:y val="5.753424243812300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A7D-4BD4-A085-195CD86F158B}"/>
                </c:ext>
              </c:extLst>
            </c:dLbl>
            <c:dLbl>
              <c:idx val="1"/>
              <c:layout>
                <c:manualLayout>
                  <c:x val="-3.3883390686894187E-2"/>
                  <c:y val="-4.90106509658085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A7D-4BD4-A085-195CD86F158B}"/>
                </c:ext>
              </c:extLst>
            </c:dLbl>
            <c:dLbl>
              <c:idx val="2"/>
              <c:layout>
                <c:manualLayout>
                  <c:x val="3.3816424477606202E-2"/>
                  <c:y val="-9.30012140372203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A7D-4BD4-A085-195CD86F158B}"/>
                </c:ext>
              </c:extLst>
            </c:dLbl>
            <c:dLbl>
              <c:idx val="3"/>
              <c:layout>
                <c:manualLayout>
                  <c:x val="3.381642447760614E-3"/>
                  <c:y val="6.97509105279152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A7D-4BD4-A085-195CD86F158B}"/>
                </c:ext>
              </c:extLst>
            </c:dLbl>
            <c:spPr>
              <a:solidFill>
                <a:schemeClr val="accent6"/>
              </a:solidFill>
              <a:ln>
                <a:noFill/>
              </a:ln>
            </c:spPr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('Grafik IKS'!$B$19,'Grafik IKS'!$B$23,'Grafik IKS'!$B$26,'Grafik IKS'!$B$29)</c:f>
              <c:strCache>
                <c:ptCount val="4"/>
                <c:pt idx="0">
                  <c:v>Solidaritas Sosial</c:v>
                </c:pt>
                <c:pt idx="1">
                  <c:v>Toleransi</c:v>
                </c:pt>
                <c:pt idx="2">
                  <c:v>Rasa Aman Warga Desa</c:v>
                </c:pt>
                <c:pt idx="3">
                  <c:v>Kesejahteraan Sosial</c:v>
                </c:pt>
              </c:strCache>
            </c:strRef>
          </c:cat>
          <c:val>
            <c:numRef>
              <c:f>('Grafik IKS'!$C$19,'Grafik IKS'!$C$23,'Grafik IKS'!$C$26,'Grafik IKS'!$C$29)</c:f>
              <c:numCache>
                <c:formatCode>0.00</c:formatCode>
                <c:ptCount val="4"/>
                <c:pt idx="0">
                  <c:v>0.68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A7D-4BD4-A085-195CD86F158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357119168"/>
        <c:axId val="357121912"/>
      </c:radarChart>
      <c:catAx>
        <c:axId val="357119168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6350">
            <a:noFill/>
          </a:ln>
        </c:spPr>
        <c:txPr>
          <a:bodyPr/>
          <a:lstStyle/>
          <a:p>
            <a:pPr>
              <a:defRPr sz="1400" b="1"/>
            </a:pPr>
            <a:endParaRPr lang="en-US"/>
          </a:p>
        </c:txPr>
        <c:crossAx val="357121912"/>
        <c:crosses val="autoZero"/>
        <c:auto val="1"/>
        <c:lblAlgn val="ctr"/>
        <c:lblOffset val="100"/>
        <c:noMultiLvlLbl val="0"/>
      </c:catAx>
      <c:valAx>
        <c:axId val="357121912"/>
        <c:scaling>
          <c:orientation val="minMax"/>
        </c:scaling>
        <c:delete val="1"/>
        <c:axPos val="l"/>
        <c:majorGridlines/>
        <c:numFmt formatCode="0.00" sourceLinked="1"/>
        <c:majorTickMark val="none"/>
        <c:minorTickMark val="none"/>
        <c:tickLblPos val="nextTo"/>
        <c:crossAx val="3571191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MODAL</a:t>
            </a:r>
            <a:r>
              <a:rPr lang="en-US" baseline="0"/>
              <a:t> SOSIAL</a:t>
            </a:r>
          </a:p>
          <a:p>
            <a:pPr>
              <a:defRPr/>
            </a:pPr>
            <a:r>
              <a:rPr lang="en-US" baseline="0"/>
              <a:t>Per Item</a:t>
            </a:r>
          </a:p>
          <a:p>
            <a:pPr>
              <a:defRPr/>
            </a:pPr>
            <a:endParaRPr lang="en-US" sz="1100"/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clustered"/>
        <c:varyColors val="0"/>
        <c:ser>
          <c:idx val="0"/>
          <c:order val="0"/>
          <c:invertIfNegative val="0"/>
          <c:dLbls>
            <c:spPr>
              <a:solidFill>
                <a:schemeClr val="accent6"/>
              </a:solidFill>
            </c:spPr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'Grafik IKS'!$D$19:$D$30</c:f>
              <c:strCache>
                <c:ptCount val="12"/>
                <c:pt idx="0">
                  <c:v>Kebiasaan Gotong Royong</c:v>
                </c:pt>
                <c:pt idx="1">
                  <c:v>Keterbukaan Ruang Publik</c:v>
                </c:pt>
                <c:pt idx="2">
                  <c:v>Terdafat Kelompok Olahraga</c:v>
                </c:pt>
                <c:pt idx="3">
                  <c:v>Terdapat Kegiatan Olahraga</c:v>
                </c:pt>
                <c:pt idx="4">
                  <c:v>Keragaman Suku/Etnis di Desa</c:v>
                </c:pt>
                <c:pt idx="5">
                  <c:v>Bahasa Sehari-hari Warga Desa</c:v>
                </c:pt>
                <c:pt idx="6">
                  <c:v>Agama Mayoritas Warga Desa</c:v>
                </c:pt>
                <c:pt idx="7">
                  <c:v>Tersedianya Sarana Pos Kamling di Desa</c:v>
                </c:pt>
                <c:pt idx="8">
                  <c:v>Partisipasi Warga Siskamling</c:v>
                </c:pt>
                <c:pt idx="9">
                  <c:v>Kejadian Perkelahian Massal di desa</c:v>
                </c:pt>
                <c:pt idx="10">
                  <c:v>Terdapat Akses ke Sekolah Luar Biasa</c:v>
                </c:pt>
                <c:pt idx="11">
                  <c:v>Terdapat Penyandang Kesejahteraan Sosial   ( Anjal dan Pengemis)</c:v>
                </c:pt>
              </c:strCache>
            </c:strRef>
          </c:cat>
          <c:val>
            <c:numRef>
              <c:f>'Grafik IKS'!$E$19:$E$30</c:f>
              <c:numCache>
                <c:formatCode>0.00</c:formatCode>
                <c:ptCount val="12"/>
                <c:pt idx="0">
                  <c:v>1</c:v>
                </c:pt>
                <c:pt idx="1">
                  <c:v>0.2</c:v>
                </c:pt>
                <c:pt idx="2">
                  <c:v>1</c:v>
                </c:pt>
                <c:pt idx="3">
                  <c:v>0.2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A8-4F27-B039-2D932096F06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shape val="box"/>
        <c:axId val="357122304"/>
        <c:axId val="357114856"/>
        <c:axId val="0"/>
      </c:bar3DChart>
      <c:catAx>
        <c:axId val="357122304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1400" b="1"/>
            </a:pPr>
            <a:endParaRPr lang="en-US"/>
          </a:p>
        </c:txPr>
        <c:crossAx val="357114856"/>
        <c:crosses val="autoZero"/>
        <c:auto val="1"/>
        <c:lblAlgn val="ctr"/>
        <c:lblOffset val="100"/>
        <c:noMultiLvlLbl val="0"/>
      </c:catAx>
      <c:valAx>
        <c:axId val="357114856"/>
        <c:scaling>
          <c:orientation val="minMax"/>
        </c:scaling>
        <c:delete val="1"/>
        <c:axPos val="b"/>
        <c:majorGridlines/>
        <c:numFmt formatCode="0.00" sourceLinked="1"/>
        <c:majorTickMark val="none"/>
        <c:minorTickMark val="none"/>
        <c:tickLblPos val="nextTo"/>
        <c:crossAx val="3571223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INDIKATOR PEMUKIMAN</a:t>
            </a:r>
          </a:p>
          <a:p>
            <a:pPr>
              <a:defRPr/>
            </a:pPr>
            <a:endParaRPr lang="en-US" sz="1600"/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63500">
              <a:solidFill>
                <a:schemeClr val="accent1"/>
              </a:solidFill>
            </a:ln>
          </c:spPr>
          <c:marker>
            <c:symbol val="circle"/>
            <c:size val="10"/>
            <c:spPr>
              <a:solidFill>
                <a:schemeClr val="tx1"/>
              </a:solidFill>
              <a:ln>
                <a:solidFill>
                  <a:srgbClr val="FF0000"/>
                </a:solidFill>
              </a:ln>
            </c:spPr>
          </c:marker>
          <c:dLbls>
            <c:dLbl>
              <c:idx val="0"/>
              <c:layout>
                <c:manualLayout>
                  <c:x val="4.1966423688783873E-2"/>
                  <c:y val="9.27371623836580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899-4D8B-9C69-099DF6A9CD4A}"/>
                </c:ext>
              </c:extLst>
            </c:dLbl>
            <c:dLbl>
              <c:idx val="1"/>
              <c:layout>
                <c:manualLayout>
                  <c:x val="-1.8512397657963045E-2"/>
                  <c:y val="-4.8538856656038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899-4D8B-9C69-099DF6A9CD4A}"/>
                </c:ext>
              </c:extLst>
            </c:dLbl>
            <c:dLbl>
              <c:idx val="2"/>
              <c:layout>
                <c:manualLayout>
                  <c:x val="-3.35731389510271E-2"/>
                  <c:y val="-6.62408302740415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899-4D8B-9C69-099DF6A9CD4A}"/>
                </c:ext>
              </c:extLst>
            </c:dLbl>
            <c:dLbl>
              <c:idx val="3"/>
              <c:layout>
                <c:manualLayout>
                  <c:x val="4.0287766741232522E-2"/>
                  <c:y val="5.96167472466372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899-4D8B-9C69-099DF6A9CD4A}"/>
                </c:ext>
              </c:extLst>
            </c:dLbl>
            <c:spPr>
              <a:solidFill>
                <a:schemeClr val="accent6"/>
              </a:solidFill>
            </c:spPr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('Grafik IKS'!$B$33,'Grafik IKS'!$B$35,'Grafik IKS'!$B$37,'Grafik IKS'!$B$38)</c:f>
              <c:strCache>
                <c:ptCount val="4"/>
                <c:pt idx="0">
                  <c:v>Akses Air Bersih dan Layak Minum</c:v>
                </c:pt>
                <c:pt idx="1">
                  <c:v>Akses ke Fasilitas Sanitasi</c:v>
                </c:pt>
                <c:pt idx="2">
                  <c:v>Akses Ke Fasilitas Listrik</c:v>
                </c:pt>
                <c:pt idx="3">
                  <c:v>Akses Fasilitas Informasi dan Komunikasi</c:v>
                </c:pt>
              </c:strCache>
            </c:strRef>
          </c:cat>
          <c:val>
            <c:numRef>
              <c:f>('Grafik IKS'!$C$33,'Grafik IKS'!$C$35,'Grafik IKS'!$C$37,'Grafik IKS'!$C$38)</c:f>
              <c:numCache>
                <c:formatCode>0.00</c:formatCode>
                <c:ptCount val="4"/>
                <c:pt idx="0">
                  <c:v>0.8</c:v>
                </c:pt>
                <c:pt idx="1">
                  <c:v>0.9</c:v>
                </c:pt>
                <c:pt idx="2">
                  <c:v>1</c:v>
                </c:pt>
                <c:pt idx="3">
                  <c:v>0.8666666666666667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899-4D8B-9C69-099DF6A9CD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9393568"/>
        <c:axId val="359397880"/>
      </c:radarChart>
      <c:catAx>
        <c:axId val="359393568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6350">
            <a:noFill/>
          </a:ln>
        </c:spPr>
        <c:txPr>
          <a:bodyPr/>
          <a:lstStyle/>
          <a:p>
            <a:pPr>
              <a:defRPr sz="1400" b="1"/>
            </a:pPr>
            <a:endParaRPr lang="en-US"/>
          </a:p>
        </c:txPr>
        <c:crossAx val="359397880"/>
        <c:crosses val="autoZero"/>
        <c:auto val="1"/>
        <c:lblAlgn val="ctr"/>
        <c:lblOffset val="100"/>
        <c:noMultiLvlLbl val="0"/>
      </c:catAx>
      <c:valAx>
        <c:axId val="359397880"/>
        <c:scaling>
          <c:orientation val="minMax"/>
        </c:scaling>
        <c:delete val="1"/>
        <c:axPos val="l"/>
        <c:majorGridlines/>
        <c:numFmt formatCode="0.00" sourceLinked="1"/>
        <c:majorTickMark val="none"/>
        <c:minorTickMark val="none"/>
        <c:tickLblPos val="nextTo"/>
        <c:crossAx val="3593935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PERMUKIMAN</a:t>
            </a:r>
          </a:p>
          <a:p>
            <a:pPr>
              <a:defRPr/>
            </a:pPr>
            <a:r>
              <a:rPr lang="en-US"/>
              <a:t>Per</a:t>
            </a:r>
            <a:r>
              <a:rPr lang="en-US" baseline="0"/>
              <a:t> Item</a:t>
            </a:r>
          </a:p>
          <a:p>
            <a:pPr>
              <a:defRPr/>
            </a:pPr>
            <a:endParaRPr lang="en-US" sz="1200"/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clustered"/>
        <c:varyColors val="0"/>
        <c:ser>
          <c:idx val="0"/>
          <c:order val="0"/>
          <c:invertIfNegative val="0"/>
          <c:dLbls>
            <c:spPr>
              <a:solidFill>
                <a:schemeClr val="accent6"/>
              </a:solidFill>
            </c:spPr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'Grafik IKS'!$D$33:$D$40</c:f>
              <c:strCache>
                <c:ptCount val="8"/>
                <c:pt idx="0">
                  <c:v>Mayoritas Warga Memiliku Sumber Air layak Minum</c:v>
                </c:pt>
                <c:pt idx="1">
                  <c:v>Akses Warga Memiliki Air Mandi dan Mencuci</c:v>
                </c:pt>
                <c:pt idx="2">
                  <c:v>Mayoritas Warga Memiliki Jamban</c:v>
                </c:pt>
                <c:pt idx="3">
                  <c:v>Terdapat Tempat Pembuangan Sampah</c:v>
                </c:pt>
                <c:pt idx="4">
                  <c:v>Jumlah Keluarga yang telah memiliki aliran listrik</c:v>
                </c:pt>
                <c:pt idx="5">
                  <c:v>Warga Memiliki Telepon seluler dan Sinyal Kuat</c:v>
                </c:pt>
                <c:pt idx="6">
                  <c:v>Akses Internet di Kantor Desa</c:v>
                </c:pt>
                <c:pt idx="7">
                  <c:v>Terdapat Akses Internet untuk warga</c:v>
                </c:pt>
              </c:strCache>
            </c:strRef>
          </c:cat>
          <c:val>
            <c:numRef>
              <c:f>'Grafik IKS'!$E$33:$E$40</c:f>
              <c:numCache>
                <c:formatCode>0.00</c:formatCode>
                <c:ptCount val="8"/>
                <c:pt idx="0">
                  <c:v>0.8</c:v>
                </c:pt>
                <c:pt idx="1">
                  <c:v>0.8</c:v>
                </c:pt>
                <c:pt idx="2">
                  <c:v>1</c:v>
                </c:pt>
                <c:pt idx="3">
                  <c:v>0.8</c:v>
                </c:pt>
                <c:pt idx="4">
                  <c:v>1</c:v>
                </c:pt>
                <c:pt idx="5">
                  <c:v>0.6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6A-4B4C-A43C-0211BF24E8A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shape val="box"/>
        <c:axId val="359393176"/>
        <c:axId val="359393960"/>
        <c:axId val="0"/>
      </c:bar3DChart>
      <c:catAx>
        <c:axId val="359393176"/>
        <c:scaling>
          <c:orientation val="minMax"/>
        </c:scaling>
        <c:delete val="0"/>
        <c:axPos val="l"/>
        <c:minorGridlines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1200" b="1"/>
            </a:pPr>
            <a:endParaRPr lang="en-US"/>
          </a:p>
        </c:txPr>
        <c:crossAx val="359393960"/>
        <c:crosses val="autoZero"/>
        <c:auto val="1"/>
        <c:lblAlgn val="ctr"/>
        <c:lblOffset val="100"/>
        <c:noMultiLvlLbl val="0"/>
      </c:catAx>
      <c:valAx>
        <c:axId val="359393960"/>
        <c:scaling>
          <c:orientation val="minMax"/>
        </c:scaling>
        <c:delete val="1"/>
        <c:axPos val="b"/>
        <c:numFmt formatCode="0.00" sourceLinked="1"/>
        <c:majorTickMark val="none"/>
        <c:minorTickMark val="none"/>
        <c:tickLblPos val="nextTo"/>
        <c:crossAx val="3593931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400"/>
            </a:pPr>
            <a:r>
              <a:rPr lang="en-US" sz="2400"/>
              <a:t>INDIKATOR SOSIAL</a:t>
            </a:r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63500">
              <a:solidFill>
                <a:schemeClr val="accent1"/>
              </a:solidFill>
            </a:ln>
          </c:spPr>
          <c:marker>
            <c:symbol val="circle"/>
            <c:size val="10"/>
            <c:spPr>
              <a:solidFill>
                <a:schemeClr val="accent4"/>
              </a:solidFill>
              <a:ln w="38100">
                <a:solidFill>
                  <a:srgbClr val="FF0000"/>
                </a:solidFill>
              </a:ln>
            </c:spPr>
          </c:marker>
          <c:dLbls>
            <c:dLbl>
              <c:idx val="1"/>
              <c:layout>
                <c:manualLayout>
                  <c:x val="-6.3636365660904018E-3"/>
                  <c:y val="5.28945774929743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DA5-4CF1-97E2-88F488920CC3}"/>
                </c:ext>
              </c:extLst>
            </c:dLbl>
            <c:dLbl>
              <c:idx val="2"/>
              <c:layout>
                <c:manualLayout>
                  <c:x val="2.9696970641755211E-2"/>
                  <c:y val="-4.26569173330438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DA5-4CF1-97E2-88F488920CC3}"/>
                </c:ext>
              </c:extLst>
            </c:dLbl>
            <c:dLbl>
              <c:idx val="3"/>
              <c:layout>
                <c:manualLayout>
                  <c:x val="3.1236054454428612E-2"/>
                  <c:y val="8.2779001900332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DA5-4CF1-97E2-88F488920CC3}"/>
                </c:ext>
              </c:extLst>
            </c:dLbl>
            <c:spPr>
              <a:solidFill>
                <a:schemeClr val="accent6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28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('Grafik IKS'!$B$1,'Grafik IKS'!$B$9,'Grafik IKS'!$B$18,'Grafik IKS'!$B$32)</c:f>
              <c:strCache>
                <c:ptCount val="4"/>
                <c:pt idx="0">
                  <c:v>KESEHATAN</c:v>
                </c:pt>
                <c:pt idx="1">
                  <c:v>PENDIDIKAN</c:v>
                </c:pt>
                <c:pt idx="2">
                  <c:v>MODAL SOSIAL</c:v>
                </c:pt>
                <c:pt idx="3">
                  <c:v>PEMUKIMAN</c:v>
                </c:pt>
              </c:strCache>
            </c:strRef>
          </c:cat>
          <c:val>
            <c:numRef>
              <c:f>('Grafik IKS'!$C$1,'Grafik IKS'!$C$9,'Grafik IKS'!$C$18,'Grafik IKS'!$C$32)</c:f>
              <c:numCache>
                <c:formatCode>0.00</c:formatCode>
                <c:ptCount val="4"/>
                <c:pt idx="0">
                  <c:v>0.62857142857142856</c:v>
                </c:pt>
                <c:pt idx="1">
                  <c:v>0.54285714285714282</c:v>
                </c:pt>
                <c:pt idx="2">
                  <c:v>0.87692307692307692</c:v>
                </c:pt>
                <c:pt idx="3">
                  <c:v>0.875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5-4CF1-97E2-88F488920C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9395528"/>
        <c:axId val="359394744"/>
      </c:radarChart>
      <c:catAx>
        <c:axId val="359395528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6350">
            <a:noFill/>
          </a:ln>
        </c:spPr>
        <c:txPr>
          <a:bodyPr/>
          <a:lstStyle/>
          <a:p>
            <a:pPr>
              <a:defRPr sz="2400" b="1"/>
            </a:pPr>
            <a:endParaRPr lang="en-US"/>
          </a:p>
        </c:txPr>
        <c:crossAx val="359394744"/>
        <c:crosses val="autoZero"/>
        <c:auto val="1"/>
        <c:lblAlgn val="ctr"/>
        <c:lblOffset val="100"/>
        <c:noMultiLvlLbl val="0"/>
      </c:catAx>
      <c:valAx>
        <c:axId val="359394744"/>
        <c:scaling>
          <c:orientation val="minMax"/>
        </c:scaling>
        <c:delete val="1"/>
        <c:axPos val="l"/>
        <c:majorGridlines/>
        <c:numFmt formatCode="0.00" sourceLinked="1"/>
        <c:majorTickMark val="none"/>
        <c:minorTickMark val="none"/>
        <c:tickLblPos val="nextTo"/>
        <c:crossAx val="3593955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INDIKATOR EKONOMI</a:t>
            </a:r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63500">
              <a:solidFill>
                <a:schemeClr val="accent1"/>
              </a:solidFill>
            </a:ln>
          </c:spPr>
          <c:marker>
            <c:symbol val="square"/>
            <c:size val="10"/>
            <c:spPr>
              <a:solidFill>
                <a:schemeClr val="tx2">
                  <a:lumMod val="75000"/>
                </a:schemeClr>
              </a:solidFill>
              <a:ln w="25400">
                <a:solidFill>
                  <a:srgbClr val="FF0000"/>
                </a:solidFill>
              </a:ln>
            </c:spPr>
          </c:marker>
          <c:dLbls>
            <c:dLbl>
              <c:idx val="0"/>
              <c:layout>
                <c:manualLayout>
                  <c:x val="4.49438202247191E-2"/>
                  <c:y val="6.642066420664206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939-4CF6-BB27-A958887C708F}"/>
                </c:ext>
              </c:extLst>
            </c:dLbl>
            <c:dLbl>
              <c:idx val="1"/>
              <c:layout>
                <c:manualLayout>
                  <c:x val="-4.9177750039648617E-2"/>
                  <c:y val="-4.787552363853979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939-4CF6-BB27-A958887C708F}"/>
                </c:ext>
              </c:extLst>
            </c:dLbl>
            <c:dLbl>
              <c:idx val="2"/>
              <c:layout>
                <c:manualLayout>
                  <c:x val="-5.9868565265659181E-2"/>
                  <c:y val="7.18132854578096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939-4CF6-BB27-A958887C708F}"/>
                </c:ext>
              </c:extLst>
            </c:dLbl>
            <c:dLbl>
              <c:idx val="3"/>
              <c:layout>
                <c:manualLayout>
                  <c:x val="-4.7039586994446582E-2"/>
                  <c:y val="-5.984440454817483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939-4CF6-BB27-A958887C708F}"/>
                </c:ext>
              </c:extLst>
            </c:dLbl>
            <c:dLbl>
              <c:idx val="4"/>
              <c:layout>
                <c:manualLayout>
                  <c:x val="4.4901423949244387E-2"/>
                  <c:y val="2.154398563734290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939-4CF6-BB27-A958887C708F}"/>
                </c:ext>
              </c:extLst>
            </c:dLbl>
            <c:dLbl>
              <c:idx val="5"/>
              <c:layout>
                <c:manualLayout>
                  <c:x val="1.0682733979855474E-2"/>
                  <c:y val="-1.35676218210606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939-4CF6-BB27-A958887C708F}"/>
                </c:ext>
              </c:extLst>
            </c:dLbl>
            <c:spPr>
              <a:solidFill>
                <a:schemeClr val="accent6"/>
              </a:solidFill>
            </c:spPr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('Grafik IKE'!$B$2,'Grafik IKE'!$B$4,'Grafik IKE'!$B$8,'Grafik IKE'!$B$10,'Grafik IKE'!$B$13,'Grafik IKE'!$B$16)</c:f>
              <c:strCache>
                <c:ptCount val="6"/>
                <c:pt idx="0">
                  <c:v>Keragaman Produksi Masyarakat Desa</c:v>
                </c:pt>
                <c:pt idx="1">
                  <c:v>Tersedianya Pusat Perdagangan</c:v>
                </c:pt>
                <c:pt idx="2">
                  <c:v>Akses Distribusi Logistik</c:v>
                </c:pt>
                <c:pt idx="3">
                  <c:v>Akkses Terhadap lembaga Keuangan dan Perkreditan</c:v>
                </c:pt>
                <c:pt idx="4">
                  <c:v>Lembaga Ekonomi</c:v>
                </c:pt>
                <c:pt idx="5">
                  <c:v>Keterbukaan Wilayah</c:v>
                </c:pt>
              </c:strCache>
            </c:strRef>
          </c:cat>
          <c:val>
            <c:numRef>
              <c:f>('Grafik IKE'!$C$2,'Grafik IKE'!$C$4,'Grafik IKE'!$C$8,'Grafik IKE'!$C$10,'Grafik IKE'!$C$13,'Grafik IKE'!$C$16)</c:f>
              <c:numCache>
                <c:formatCode>0.00</c:formatCode>
                <c:ptCount val="6"/>
                <c:pt idx="0">
                  <c:v>1</c:v>
                </c:pt>
                <c:pt idx="1">
                  <c:v>0.53333333333333333</c:v>
                </c:pt>
                <c:pt idx="2">
                  <c:v>0</c:v>
                </c:pt>
                <c:pt idx="3">
                  <c:v>0.2</c:v>
                </c:pt>
                <c:pt idx="4">
                  <c:v>0.8</c:v>
                </c:pt>
                <c:pt idx="5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939-4CF6-BB27-A958887C70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9391216"/>
        <c:axId val="359395136"/>
      </c:radarChart>
      <c:catAx>
        <c:axId val="35939121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6350">
            <a:noFill/>
          </a:ln>
        </c:spPr>
        <c:txPr>
          <a:bodyPr/>
          <a:lstStyle/>
          <a:p>
            <a:pPr>
              <a:defRPr sz="1200" b="1"/>
            </a:pPr>
            <a:endParaRPr lang="en-US"/>
          </a:p>
        </c:txPr>
        <c:crossAx val="359395136"/>
        <c:crosses val="autoZero"/>
        <c:auto val="1"/>
        <c:lblAlgn val="ctr"/>
        <c:lblOffset val="100"/>
        <c:noMultiLvlLbl val="0"/>
      </c:catAx>
      <c:valAx>
        <c:axId val="359395136"/>
        <c:scaling>
          <c:orientation val="minMax"/>
        </c:scaling>
        <c:delete val="1"/>
        <c:axPos val="l"/>
        <c:majorGridlines/>
        <c:numFmt formatCode="0.00" sourceLinked="1"/>
        <c:majorTickMark val="none"/>
        <c:minorTickMark val="none"/>
        <c:tickLblPos val="nextTo"/>
        <c:crossAx val="3593912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INDIKATOR</a:t>
            </a:r>
            <a:r>
              <a:rPr lang="en-US" baseline="0"/>
              <a:t> EKONOMI</a:t>
            </a:r>
          </a:p>
          <a:p>
            <a:pPr>
              <a:defRPr/>
            </a:pPr>
            <a:r>
              <a:rPr lang="en-US" baseline="0"/>
              <a:t>Per Item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clustered"/>
        <c:varyColors val="0"/>
        <c:ser>
          <c:idx val="0"/>
          <c:order val="0"/>
          <c:invertIfNegative val="0"/>
          <c:dLbls>
            <c:spPr>
              <a:solidFill>
                <a:schemeClr val="accent6"/>
              </a:solidFill>
            </c:spPr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('Grafik IKE'!$D$2,'Grafik IKE'!$D$4:$D$6,'Grafik IKE'!$D$8,'Grafik IKE'!$D$10:$D$11,'Grafik IKE'!$D$13:$D$14,'Grafik IKE'!$D$16:$D$18)</c:f>
              <c:strCache>
                <c:ptCount val="12"/>
                <c:pt idx="0">
                  <c:v>Terdapat Lebih dari Satu Jenis Kegiatan Ekonomi Penduduk</c:v>
                </c:pt>
                <c:pt idx="1">
                  <c:v>Akses Penduduk ke Pusat Perdagangan (Pertokoan, Pasar Permanen)</c:v>
                </c:pt>
                <c:pt idx="2">
                  <c:v>Terdapatm Pasar Desa</c:v>
                </c:pt>
                <c:pt idx="3">
                  <c:v>Terdapat Sektor Perdagangan (warung minimarket)</c:v>
                </c:pt>
                <c:pt idx="4">
                  <c:v>Terdapat Kantor Pos dan Jasa Logistik</c:v>
                </c:pt>
                <c:pt idx="5">
                  <c:v>Tersedianya Lembaga Pebankan Umum dan BPR</c:v>
                </c:pt>
                <c:pt idx="6">
                  <c:v>Akses Penduduk ke Kredit</c:v>
                </c:pt>
                <c:pt idx="7">
                  <c:v>Tersedianya Lembaga Ekonomi Rakyat (Koperasi)/Bumdes</c:v>
                </c:pt>
                <c:pt idx="8">
                  <c:v>Terdapat Usaha Kedai makanan, Restoran, Hotel dan Penginapan</c:v>
                </c:pt>
                <c:pt idx="9">
                  <c:v>Terdapat Moda (Angkutan Umum, Trayek Reguler dan Jam Operasi)</c:v>
                </c:pt>
                <c:pt idx="10">
                  <c:v>Jalan yang Dapat Dilalui oleh Kendaraan Bermotor Roda Empat atau Lebih</c:v>
                </c:pt>
                <c:pt idx="11">
                  <c:v>Kualitas Jalan Desa </c:v>
                </c:pt>
              </c:strCache>
            </c:strRef>
          </c:cat>
          <c:val>
            <c:numRef>
              <c:f>('Grafik IKE'!$E$2,'Grafik IKE'!$E$4:$E$6,'Grafik IKE'!$E$8,'Grafik IKE'!$E$10:$E$11,'Grafik IKE'!$E$13:$E$14,'Grafik IKE'!$E$16:$E$18)</c:f>
              <c:numCache>
                <c:formatCode>0.00</c:formatCode>
                <c:ptCount val="12"/>
                <c:pt idx="0">
                  <c:v>1</c:v>
                </c:pt>
                <c:pt idx="1">
                  <c:v>0.4</c:v>
                </c:pt>
                <c:pt idx="2">
                  <c:v>0.2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0.4</c:v>
                </c:pt>
                <c:pt idx="7">
                  <c:v>1</c:v>
                </c:pt>
                <c:pt idx="8">
                  <c:v>0.6</c:v>
                </c:pt>
                <c:pt idx="9">
                  <c:v>0.6</c:v>
                </c:pt>
                <c:pt idx="10">
                  <c:v>1</c:v>
                </c:pt>
                <c:pt idx="11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2B-4735-AA3D-0C4901916F9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359391608"/>
        <c:axId val="359398664"/>
        <c:axId val="0"/>
      </c:bar3DChart>
      <c:catAx>
        <c:axId val="359391608"/>
        <c:scaling>
          <c:orientation val="minMax"/>
        </c:scaling>
        <c:delete val="0"/>
        <c:axPos val="l"/>
        <c:majorGridlines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1100" b="1"/>
            </a:pPr>
            <a:endParaRPr lang="en-US"/>
          </a:p>
        </c:txPr>
        <c:crossAx val="359398664"/>
        <c:crosses val="autoZero"/>
        <c:auto val="1"/>
        <c:lblAlgn val="ctr"/>
        <c:lblOffset val="100"/>
        <c:noMultiLvlLbl val="0"/>
      </c:catAx>
      <c:valAx>
        <c:axId val="359398664"/>
        <c:scaling>
          <c:orientation val="minMax"/>
        </c:scaling>
        <c:delete val="1"/>
        <c:axPos val="b"/>
        <c:numFmt formatCode="0.00" sourceLinked="1"/>
        <c:majorTickMark val="none"/>
        <c:minorTickMark val="none"/>
        <c:tickLblPos val="nextTo"/>
        <c:crossAx val="3593916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INDIKATOR LINGKUNGAN</a:t>
            </a:r>
          </a:p>
        </c:rich>
      </c:tx>
      <c:layout>
        <c:manualLayout>
          <c:xMode val="edge"/>
          <c:yMode val="edge"/>
          <c:x val="0.25722955122412983"/>
          <c:y val="0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63500">
              <a:solidFill>
                <a:schemeClr val="accent1"/>
              </a:solidFill>
            </a:ln>
          </c:spPr>
          <c:marker>
            <c:symbol val="circle"/>
            <c:size val="10"/>
            <c:spPr>
              <a:solidFill>
                <a:srgbClr val="C00000"/>
              </a:solidFill>
              <a:ln w="25400">
                <a:solidFill>
                  <a:schemeClr val="accent2"/>
                </a:solidFill>
              </a:ln>
            </c:spPr>
          </c:marker>
          <c:dLbls>
            <c:dLbl>
              <c:idx val="0"/>
              <c:layout>
                <c:manualLayout>
                  <c:x val="7.4318607433598721E-2"/>
                  <c:y val="4.52516597190056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63E-4AB4-8A9A-F96481F939B7}"/>
                </c:ext>
              </c:extLst>
            </c:dLbl>
            <c:dLbl>
              <c:idx val="1"/>
              <c:layout>
                <c:manualLayout>
                  <c:x val="-9.8355964539176721E-2"/>
                  <c:y val="-5.60433070866141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63E-4AB4-8A9A-F96481F939B7}"/>
                </c:ext>
              </c:extLst>
            </c:dLbl>
            <c:dLbl>
              <c:idx val="2"/>
              <c:layout>
                <c:manualLayout>
                  <c:x val="9.8341682195130814E-2"/>
                  <c:y val="1.2254901960784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63E-4AB4-8A9A-F96481F939B7}"/>
                </c:ext>
              </c:extLst>
            </c:dLbl>
            <c:spPr>
              <a:solidFill>
                <a:schemeClr val="accent6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('Grafik IKL'!$B$2,'Grafik IKL'!$B$4:$B$5)</c:f>
              <c:strCache>
                <c:ptCount val="3"/>
                <c:pt idx="0">
                  <c:v>Kualitas Lingkungan</c:v>
                </c:pt>
                <c:pt idx="1">
                  <c:v>Potensi Rawan Bencana</c:v>
                </c:pt>
                <c:pt idx="2">
                  <c:v>Tanggap Bencana</c:v>
                </c:pt>
              </c:strCache>
            </c:strRef>
          </c:cat>
          <c:val>
            <c:numRef>
              <c:f>('Grafik IKL'!$C$2,'Grafik IKL'!$C$4:$C$5)</c:f>
              <c:numCache>
                <c:formatCode>0.00</c:formatCode>
                <c:ptCount val="3"/>
                <c:pt idx="0">
                  <c:v>1</c:v>
                </c:pt>
                <c:pt idx="1">
                  <c:v>1</c:v>
                </c:pt>
                <c:pt idx="2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63E-4AB4-8A9A-F96481F939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9395920"/>
        <c:axId val="359396312"/>
      </c:radarChart>
      <c:catAx>
        <c:axId val="359395920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6350">
            <a:noFill/>
          </a:ln>
        </c:spPr>
        <c:txPr>
          <a:bodyPr/>
          <a:lstStyle/>
          <a:p>
            <a:pPr>
              <a:defRPr sz="1600" b="1"/>
            </a:pPr>
            <a:endParaRPr lang="en-US"/>
          </a:p>
        </c:txPr>
        <c:crossAx val="359396312"/>
        <c:crosses val="autoZero"/>
        <c:auto val="1"/>
        <c:lblAlgn val="ctr"/>
        <c:lblOffset val="100"/>
        <c:noMultiLvlLbl val="0"/>
      </c:catAx>
      <c:valAx>
        <c:axId val="359396312"/>
        <c:scaling>
          <c:orientation val="minMax"/>
        </c:scaling>
        <c:delete val="1"/>
        <c:axPos val="l"/>
        <c:majorGridlines/>
        <c:numFmt formatCode="0.00" sourceLinked="1"/>
        <c:majorTickMark val="none"/>
        <c:minorTickMark val="none"/>
        <c:tickLblPos val="nextTo"/>
        <c:crossAx val="3593959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INDIKATOR LINGKUNGAN</a:t>
            </a:r>
          </a:p>
          <a:p>
            <a:pPr>
              <a:defRPr/>
            </a:pPr>
            <a:r>
              <a:rPr lang="en-US"/>
              <a:t>Per Item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clustered"/>
        <c:varyColors val="0"/>
        <c:ser>
          <c:idx val="0"/>
          <c:order val="0"/>
          <c:invertIfNegative val="0"/>
          <c:dLbls>
            <c:spPr>
              <a:solidFill>
                <a:schemeClr val="accent6"/>
              </a:solidFill>
              <a:ln>
                <a:noFill/>
              </a:ln>
            </c:spPr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('Grafik IKL'!$D$2,'Grafik IKL'!$D$4:$D$5)</c:f>
              <c:strCache>
                <c:ptCount val="3"/>
                <c:pt idx="0">
                  <c:v>Pencemaran Air, Tanah dan Udara</c:v>
                </c:pt>
                <c:pt idx="1">
                  <c:v>Kejadian Bencana Alam (Banjir, Tanah Longsor, Kebakaran Hutan)</c:v>
                </c:pt>
                <c:pt idx="2">
                  <c:v>Upaya/Tindakan terhadap Potensi Bencana Alam</c:v>
                </c:pt>
              </c:strCache>
            </c:strRef>
          </c:cat>
          <c:val>
            <c:numRef>
              <c:f>('Grafik IKL'!$E$2,'Grafik IKL'!$E$4:$E$5)</c:f>
              <c:numCache>
                <c:formatCode>0.00</c:formatCode>
                <c:ptCount val="3"/>
                <c:pt idx="0">
                  <c:v>1</c:v>
                </c:pt>
                <c:pt idx="1">
                  <c:v>1</c:v>
                </c:pt>
                <c:pt idx="2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1C-4FA0-BE78-573EC628202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359397488"/>
        <c:axId val="357120736"/>
        <c:axId val="0"/>
      </c:bar3DChart>
      <c:catAx>
        <c:axId val="359397488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1200" b="1"/>
            </a:pPr>
            <a:endParaRPr lang="en-US"/>
          </a:p>
        </c:txPr>
        <c:crossAx val="357120736"/>
        <c:crosses val="autoZero"/>
        <c:auto val="1"/>
        <c:lblAlgn val="ctr"/>
        <c:lblOffset val="100"/>
        <c:noMultiLvlLbl val="0"/>
      </c:catAx>
      <c:valAx>
        <c:axId val="357120736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3593974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'Grafik IDM'!$A$1:$B$1</c:f>
          <c:strCache>
            <c:ptCount val="2"/>
            <c:pt idx="0">
              <c:v>DESA GEDANGAN</c:v>
            </c:pt>
          </c:strCache>
        </c:strRef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63500">
              <a:solidFill>
                <a:srgbClr val="C00000"/>
              </a:solidFill>
            </a:ln>
          </c:spPr>
          <c:marker>
            <c:symbol val="square"/>
            <c:size val="10"/>
            <c:spPr>
              <a:solidFill>
                <a:schemeClr val="accent5"/>
              </a:solidFill>
              <a:ln w="25400">
                <a:solidFill>
                  <a:schemeClr val="bg1"/>
                </a:solidFill>
              </a:ln>
            </c:spPr>
          </c:marker>
          <c:dLbls>
            <c:dLbl>
              <c:idx val="0"/>
              <c:layout>
                <c:manualLayout>
                  <c:x val="5.028720044288857E-2"/>
                  <c:y val="6.25406439579667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6AE-462E-84AF-983C3E264881}"/>
                </c:ext>
              </c:extLst>
            </c:dLbl>
            <c:dLbl>
              <c:idx val="1"/>
              <c:layout>
                <c:manualLayout>
                  <c:x val="-3.2372281234193299E-2"/>
                  <c:y val="1.70940170940170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6AE-462E-84AF-983C3E264881}"/>
                </c:ext>
              </c:extLst>
            </c:dLbl>
            <c:dLbl>
              <c:idx val="2"/>
              <c:layout>
                <c:manualLayout>
                  <c:x val="-1.0582010582010614E-2"/>
                  <c:y val="-0.1013460015835312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6AE-462E-84AF-983C3E264881}"/>
                </c:ext>
              </c:extLst>
            </c:dLbl>
            <c:spPr>
              <a:solidFill>
                <a:schemeClr val="accent6"/>
              </a:solidFill>
              <a:ln>
                <a:solidFill>
                  <a:schemeClr val="accent6"/>
                </a:solidFill>
              </a:ln>
            </c:spPr>
            <c:txPr>
              <a:bodyPr/>
              <a:lstStyle/>
              <a:p>
                <a:pPr>
                  <a:defRPr sz="18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'Grafik IDM'!$A$2:$A$4</c:f>
              <c:strCache>
                <c:ptCount val="3"/>
                <c:pt idx="0">
                  <c:v>SOSIAL (IKS)</c:v>
                </c:pt>
                <c:pt idx="1">
                  <c:v>EKONOMI (IKE)</c:v>
                </c:pt>
                <c:pt idx="2">
                  <c:v>LINGKUNGAN (IKL)</c:v>
                </c:pt>
              </c:strCache>
            </c:strRef>
          </c:cat>
          <c:val>
            <c:numRef>
              <c:f>'Grafik IDM'!$B$2:$B$4</c:f>
              <c:numCache>
                <c:formatCode>0.000</c:formatCode>
                <c:ptCount val="3"/>
                <c:pt idx="0">
                  <c:v>0.76</c:v>
                </c:pt>
                <c:pt idx="1">
                  <c:v>0.58333333333333337</c:v>
                </c:pt>
                <c:pt idx="2">
                  <c:v>0.93333333333333335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6AE-462E-84AF-983C3E2648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7116424"/>
        <c:axId val="357115640"/>
      </c:radarChart>
      <c:catAx>
        <c:axId val="357116424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6350">
            <a:noFill/>
          </a:ln>
        </c:spPr>
        <c:txPr>
          <a:bodyPr/>
          <a:lstStyle/>
          <a:p>
            <a:pPr>
              <a:defRPr sz="1600" b="1"/>
            </a:pPr>
            <a:endParaRPr lang="en-US"/>
          </a:p>
        </c:txPr>
        <c:crossAx val="357115640"/>
        <c:crosses val="autoZero"/>
        <c:auto val="1"/>
        <c:lblAlgn val="ctr"/>
        <c:lblOffset val="100"/>
        <c:noMultiLvlLbl val="0"/>
      </c:catAx>
      <c:valAx>
        <c:axId val="357115640"/>
        <c:scaling>
          <c:orientation val="minMax"/>
        </c:scaling>
        <c:delete val="1"/>
        <c:axPos val="l"/>
        <c:majorGridlines/>
        <c:numFmt formatCode="0.000" sourceLinked="1"/>
        <c:majorTickMark val="none"/>
        <c:minorTickMark val="none"/>
        <c:tickLblPos val="nextTo"/>
        <c:crossAx val="3571164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0"/>
              <c:layout>
                <c:manualLayout>
                  <c:x val="-6.3492063492063489E-2"/>
                  <c:y val="1.22484689413823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F98-46CD-8D22-D137CD832071}"/>
                </c:ext>
              </c:extLst>
            </c:dLbl>
            <c:dLbl>
              <c:idx val="1"/>
              <c:layout>
                <c:manualLayout>
                  <c:x val="-9.5238095238096409E-3"/>
                  <c:y val="-2.79965004374453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F98-46CD-8D22-D137CD832071}"/>
                </c:ext>
              </c:extLst>
            </c:dLbl>
            <c:dLbl>
              <c:idx val="2"/>
              <c:layout>
                <c:manualLayout>
                  <c:x val="9.1058132553312882E-2"/>
                  <c:y val="-2.5114081390824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F98-46CD-8D22-D137CD832071}"/>
                </c:ext>
              </c:extLst>
            </c:dLbl>
            <c:dLbl>
              <c:idx val="3"/>
              <c:layout>
                <c:manualLayout>
                  <c:x val="6.3492063492063197E-3"/>
                  <c:y val="2.9746281714785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F98-46CD-8D22-D137CD83207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'REKAP STATISTIK DESA 2020'!$A$13:$A$16</c:f>
              <c:strCache>
                <c:ptCount val="4"/>
                <c:pt idx="0">
                  <c:v>KESEHATAN</c:v>
                </c:pt>
                <c:pt idx="1">
                  <c:v>PENDIDIKAN</c:v>
                </c:pt>
                <c:pt idx="2">
                  <c:v>MODAL SOSIAL</c:v>
                </c:pt>
                <c:pt idx="3">
                  <c:v>PERMUKIMAN</c:v>
                </c:pt>
              </c:strCache>
            </c:strRef>
          </c:cat>
          <c:val>
            <c:numRef>
              <c:f>'REKAP STATISTIK DESA 2020'!$B$13:$B$16</c:f>
              <c:numCache>
                <c:formatCode>0.00</c:formatCode>
                <c:ptCount val="4"/>
                <c:pt idx="0">
                  <c:v>0.62857142857142856</c:v>
                </c:pt>
                <c:pt idx="1">
                  <c:v>0.54285714285714282</c:v>
                </c:pt>
                <c:pt idx="2">
                  <c:v>0.87692307692307692</c:v>
                </c:pt>
                <c:pt idx="3">
                  <c:v>0.875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F98-46CD-8D22-D137CD8320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502728"/>
        <c:axId val="360503512"/>
      </c:radarChart>
      <c:catAx>
        <c:axId val="360502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0503512"/>
        <c:crosses val="autoZero"/>
        <c:auto val="1"/>
        <c:lblAlgn val="ctr"/>
        <c:lblOffset val="100"/>
        <c:noMultiLvlLbl val="0"/>
      </c:catAx>
      <c:valAx>
        <c:axId val="360503512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crossAx val="360502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0"/>
              <c:layout>
                <c:manualLayout>
                  <c:x val="-5.4356514788169462E-2"/>
                  <c:y val="9.33852140077820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427-4BF9-9B1E-7718A6550643}"/>
                </c:ext>
              </c:extLst>
            </c:dLbl>
            <c:dLbl>
              <c:idx val="1"/>
              <c:layout>
                <c:manualLayout>
                  <c:x val="-1.2789768185451638E-2"/>
                  <c:y val="-5.188067444876783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427-4BF9-9B1E-7718A6550643}"/>
                </c:ext>
              </c:extLst>
            </c:dLbl>
            <c:dLbl>
              <c:idx val="2"/>
              <c:layout>
                <c:manualLayout>
                  <c:x val="3.1974420463629096E-3"/>
                  <c:y val="-0.1037613488975356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427-4BF9-9B1E-7718A6550643}"/>
                </c:ext>
              </c:extLst>
            </c:dLbl>
            <c:dLbl>
              <c:idx val="3"/>
              <c:layout>
                <c:manualLayout>
                  <c:x val="5.1159072741806616E-2"/>
                  <c:y val="-3.63164721141374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427-4BF9-9B1E-7718A6550643}"/>
                </c:ext>
              </c:extLst>
            </c:dLbl>
            <c:dLbl>
              <c:idx val="4"/>
              <c:layout>
                <c:manualLayout>
                  <c:x val="7.034372501998401E-2"/>
                  <c:y val="2.07522697795071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427-4BF9-9B1E-7718A6550643}"/>
                </c:ext>
              </c:extLst>
            </c:dLbl>
            <c:dLbl>
              <c:idx val="5"/>
              <c:layout>
                <c:manualLayout>
                  <c:x val="-7.9645668246093864E-5"/>
                  <c:y val="0.1167803144046681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427-4BF9-9B1E-7718A655064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'REKAP STATISTIK DESA 2020'!$A$44:$A$49</c:f>
              <c:strCache>
                <c:ptCount val="6"/>
                <c:pt idx="0">
                  <c:v>KERAGAMAN PRODUKSI</c:v>
                </c:pt>
                <c:pt idx="1">
                  <c:v>PERDAGANGAN</c:v>
                </c:pt>
                <c:pt idx="2">
                  <c:v>AKSES DISTRIBUSI</c:v>
                </c:pt>
                <c:pt idx="3">
                  <c:v>AKSES KREDIT</c:v>
                </c:pt>
                <c:pt idx="4">
                  <c:v>LEMBAGA EKONOMI</c:v>
                </c:pt>
                <c:pt idx="5">
                  <c:v>KETERBUKAAN WILAYAH</c:v>
                </c:pt>
              </c:strCache>
            </c:strRef>
          </c:cat>
          <c:val>
            <c:numRef>
              <c:f>'REKAP STATISTIK DESA 2020'!$B$44:$B$49</c:f>
              <c:numCache>
                <c:formatCode>0.00</c:formatCode>
                <c:ptCount val="6"/>
                <c:pt idx="0">
                  <c:v>1</c:v>
                </c:pt>
                <c:pt idx="1">
                  <c:v>0.53333333333333333</c:v>
                </c:pt>
                <c:pt idx="2">
                  <c:v>0</c:v>
                </c:pt>
                <c:pt idx="3">
                  <c:v>0.2</c:v>
                </c:pt>
                <c:pt idx="4">
                  <c:v>0.8</c:v>
                </c:pt>
                <c:pt idx="5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427-4BF9-9B1E-7718A6550643}"/>
            </c:ext>
          </c:extLst>
        </c:ser>
        <c:ser>
          <c:idx val="1"/>
          <c:order val="1"/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'REKAP STATISTIK DESA 2020'!$A$44:$A$49</c:f>
              <c:strCache>
                <c:ptCount val="6"/>
                <c:pt idx="0">
                  <c:v>KERAGAMAN PRODUKSI</c:v>
                </c:pt>
                <c:pt idx="1">
                  <c:v>PERDAGANGAN</c:v>
                </c:pt>
                <c:pt idx="2">
                  <c:v>AKSES DISTRIBUSI</c:v>
                </c:pt>
                <c:pt idx="3">
                  <c:v>AKSES KREDIT</c:v>
                </c:pt>
                <c:pt idx="4">
                  <c:v>LEMBAGA EKONOMI</c:v>
                </c:pt>
                <c:pt idx="5">
                  <c:v>KETERBUKAAN WILAYAH</c:v>
                </c:pt>
              </c:strCache>
            </c:strRef>
          </c:cat>
          <c:val>
            <c:numRef>
              <c:f>'REKAP STATISTIK DESA 2020'!$C$44:$C$49</c:f>
              <c:numCache>
                <c:formatCode>General</c:formatCode>
                <c:ptCount val="6"/>
                <c:pt idx="0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427-4BF9-9B1E-7718A65506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503120"/>
        <c:axId val="360503904"/>
      </c:radarChart>
      <c:catAx>
        <c:axId val="360503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0503904"/>
        <c:crosses val="autoZero"/>
        <c:auto val="1"/>
        <c:lblAlgn val="ctr"/>
        <c:lblOffset val="100"/>
        <c:noMultiLvlLbl val="0"/>
      </c:catAx>
      <c:valAx>
        <c:axId val="360503904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crossAx val="360503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4199214932019945"/>
          <c:y val="0.22146028089482439"/>
          <c:w val="0.30967444120141413"/>
          <c:h val="0.68294199035714465"/>
        </c:manualLayout>
      </c:layout>
      <c:radarChart>
        <c:radarStyle val="marker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0"/>
              <c:layout>
                <c:manualLayout>
                  <c:x val="-4.6210327477554707E-2"/>
                  <c:y val="0.1171233201407364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7DA-4F0A-94AA-F4E2797F4916}"/>
                </c:ext>
              </c:extLst>
            </c:dLbl>
            <c:dLbl>
              <c:idx val="1"/>
              <c:layout>
                <c:manualLayout>
                  <c:x val="8.7023489671607755E-3"/>
                  <c:y val="-0.1311079353296820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7DA-4F0A-94AA-F4E2797F4916}"/>
                </c:ext>
              </c:extLst>
            </c:dLbl>
            <c:dLbl>
              <c:idx val="2"/>
              <c:layout>
                <c:manualLayout>
                  <c:x val="6.8539671016539697E-2"/>
                  <c:y val="4.26533653840595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7DA-4F0A-94AA-F4E2797F491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'REKAP STATISTIK DESA 2020'!$A$52:$A$54</c:f>
              <c:strCache>
                <c:ptCount val="3"/>
                <c:pt idx="0">
                  <c:v>Kualitas Lingkungan</c:v>
                </c:pt>
                <c:pt idx="1">
                  <c:v>Potensi Rawan Bencana</c:v>
                </c:pt>
                <c:pt idx="2">
                  <c:v>Tanggap Bencana</c:v>
                </c:pt>
              </c:strCache>
            </c:strRef>
          </c:cat>
          <c:val>
            <c:numRef>
              <c:f>'REKAP STATISTIK DESA 2020'!$B$52:$B$54</c:f>
              <c:numCache>
                <c:formatCode>0.00</c:formatCode>
                <c:ptCount val="3"/>
                <c:pt idx="0">
                  <c:v>1</c:v>
                </c:pt>
                <c:pt idx="1">
                  <c:v>1</c:v>
                </c:pt>
                <c:pt idx="2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7DA-4F0A-94AA-F4E2797F49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497240"/>
        <c:axId val="360500376"/>
      </c:radarChart>
      <c:catAx>
        <c:axId val="360497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0500376"/>
        <c:crosses val="autoZero"/>
        <c:auto val="1"/>
        <c:lblAlgn val="ctr"/>
        <c:lblOffset val="100"/>
        <c:noMultiLvlLbl val="0"/>
      </c:catAx>
      <c:valAx>
        <c:axId val="360500376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crossAx val="360497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2085365629762009E-3"/>
          <c:y val="3.3335565664006764E-2"/>
          <c:w val="0.9464524992671548"/>
          <c:h val="0.88580230332369503"/>
        </c:manualLayout>
      </c:layout>
      <c:pie3DChart>
        <c:varyColors val="1"/>
        <c:ser>
          <c:idx val="0"/>
          <c:order val="0"/>
          <c:explosion val="13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529D-4C30-866B-0522723254B5}"/>
              </c:ext>
            </c:extLst>
          </c:dPt>
          <c:dPt>
            <c:idx val="1"/>
            <c:bubble3D val="0"/>
            <c:explosion val="38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529D-4C30-866B-0522723254B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529D-4C30-866B-0522723254B5}"/>
              </c:ext>
            </c:extLst>
          </c:dPt>
          <c:dLbls>
            <c:dLbl>
              <c:idx val="0"/>
              <c:layout>
                <c:manualLayout>
                  <c:x val="8.7033668292503807E-3"/>
                  <c:y val="4.587886320024690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29D-4C30-866B-0522723254B5}"/>
                </c:ext>
              </c:extLst>
            </c:dLbl>
            <c:dLbl>
              <c:idx val="1"/>
              <c:layout>
                <c:manualLayout>
                  <c:x val="4.6430458260039505E-2"/>
                  <c:y val="7.21903667513717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29D-4C30-866B-0522723254B5}"/>
                </c:ext>
              </c:extLst>
            </c:dLbl>
            <c:dLbl>
              <c:idx val="2"/>
              <c:layout>
                <c:manualLayout>
                  <c:x val="-4.2695033958105977E-2"/>
                  <c:y val="2.97250774385698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29D-4C30-866B-0522723254B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('REKAP STATISTIK DESA 2020'!$A$12,'REKAP STATISTIK DESA 2020'!$A$50,'REKAP STATISTIK DESA 2020'!$A$56)</c:f>
              <c:strCache>
                <c:ptCount val="3"/>
                <c:pt idx="0">
                  <c:v>IKS</c:v>
                </c:pt>
                <c:pt idx="1">
                  <c:v>IKE</c:v>
                </c:pt>
                <c:pt idx="2">
                  <c:v>IKL</c:v>
                </c:pt>
              </c:strCache>
            </c:strRef>
          </c:cat>
          <c:val>
            <c:numRef>
              <c:f>('REKAP STATISTIK DESA 2020'!$B$12,'REKAP STATISTIK DESA 2020'!$B$50,'REKAP STATISTIK DESA 2020'!$B$56)</c:f>
              <c:numCache>
                <c:formatCode>0.0000</c:formatCode>
                <c:ptCount val="3"/>
                <c:pt idx="0">
                  <c:v>0.76</c:v>
                </c:pt>
                <c:pt idx="1">
                  <c:v>0.58333333333333337</c:v>
                </c:pt>
                <c:pt idx="2">
                  <c:v>0.93333333333333335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29D-4C30-866B-0522723254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1380419195080763E-2"/>
          <c:y val="0.80356471318107858"/>
          <c:w val="0.34515667441048259"/>
          <c:h val="0.165282206909316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1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/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1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/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1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/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4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7295</xdr:colOff>
      <xdr:row>39</xdr:row>
      <xdr:rowOff>54430</xdr:rowOff>
    </xdr:from>
    <xdr:to>
      <xdr:col>6</xdr:col>
      <xdr:colOff>312963</xdr:colOff>
      <xdr:row>62</xdr:row>
      <xdr:rowOff>40822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367394</xdr:colOff>
      <xdr:row>39</xdr:row>
      <xdr:rowOff>70757</xdr:rowOff>
    </xdr:from>
    <xdr:to>
      <xdr:col>19</xdr:col>
      <xdr:colOff>598716</xdr:colOff>
      <xdr:row>62</xdr:row>
      <xdr:rowOff>27216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62</xdr:row>
      <xdr:rowOff>81644</xdr:rowOff>
    </xdr:from>
    <xdr:to>
      <xdr:col>6</xdr:col>
      <xdr:colOff>340179</xdr:colOff>
      <xdr:row>85</xdr:row>
      <xdr:rowOff>68038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394608</xdr:colOff>
      <xdr:row>62</xdr:row>
      <xdr:rowOff>97971</xdr:rowOff>
    </xdr:from>
    <xdr:to>
      <xdr:col>20</xdr:col>
      <xdr:colOff>0</xdr:colOff>
      <xdr:row>85</xdr:row>
      <xdr:rowOff>68036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27215</xdr:colOff>
      <xdr:row>85</xdr:row>
      <xdr:rowOff>95250</xdr:rowOff>
    </xdr:from>
    <xdr:to>
      <xdr:col>6</xdr:col>
      <xdr:colOff>353786</xdr:colOff>
      <xdr:row>116</xdr:row>
      <xdr:rowOff>149679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421822</xdr:colOff>
      <xdr:row>85</xdr:row>
      <xdr:rowOff>125186</xdr:rowOff>
    </xdr:from>
    <xdr:to>
      <xdr:col>19</xdr:col>
      <xdr:colOff>598715</xdr:colOff>
      <xdr:row>116</xdr:row>
      <xdr:rowOff>122467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40821</xdr:colOff>
      <xdr:row>117</xdr:row>
      <xdr:rowOff>29934</xdr:rowOff>
    </xdr:from>
    <xdr:to>
      <xdr:col>6</xdr:col>
      <xdr:colOff>353785</xdr:colOff>
      <xdr:row>146</xdr:row>
      <xdr:rowOff>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394606</xdr:colOff>
      <xdr:row>117</xdr:row>
      <xdr:rowOff>29936</xdr:rowOff>
    </xdr:from>
    <xdr:to>
      <xdr:col>19</xdr:col>
      <xdr:colOff>612321</xdr:colOff>
      <xdr:row>146</xdr:row>
      <xdr:rowOff>1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0</xdr:row>
      <xdr:rowOff>13606</xdr:rowOff>
    </xdr:from>
    <xdr:to>
      <xdr:col>19</xdr:col>
      <xdr:colOff>585107</xdr:colOff>
      <xdr:row>39</xdr:row>
      <xdr:rowOff>27213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</xdr:rowOff>
    </xdr:from>
    <xdr:to>
      <xdr:col>3</xdr:col>
      <xdr:colOff>2219325</xdr:colOff>
      <xdr:row>27</xdr:row>
      <xdr:rowOff>180974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2228849</xdr:colOff>
      <xdr:row>0</xdr:row>
      <xdr:rowOff>19051</xdr:rowOff>
    </xdr:from>
    <xdr:to>
      <xdr:col>5</xdr:col>
      <xdr:colOff>4057649</xdr:colOff>
      <xdr:row>28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3200400</xdr:colOff>
      <xdr:row>27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3190875</xdr:colOff>
      <xdr:row>0</xdr:row>
      <xdr:rowOff>0</xdr:rowOff>
    </xdr:from>
    <xdr:to>
      <xdr:col>13</xdr:col>
      <xdr:colOff>419100</xdr:colOff>
      <xdr:row>27</xdr:row>
      <xdr:rowOff>47624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581025</xdr:colOff>
      <xdr:row>27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8106</xdr:rowOff>
    </xdr:from>
    <xdr:to>
      <xdr:col>1</xdr:col>
      <xdr:colOff>593912</xdr:colOff>
      <xdr:row>41</xdr:row>
      <xdr:rowOff>231031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43</xdr:row>
      <xdr:rowOff>8106</xdr:rowOff>
    </xdr:from>
    <xdr:to>
      <xdr:col>2</xdr:col>
      <xdr:colOff>0</xdr:colOff>
      <xdr:row>53</xdr:row>
      <xdr:rowOff>235323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54</xdr:row>
      <xdr:rowOff>260357</xdr:rowOff>
    </xdr:from>
    <xdr:to>
      <xdr:col>2</xdr:col>
      <xdr:colOff>0</xdr:colOff>
      <xdr:row>56</xdr:row>
      <xdr:rowOff>672352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990040</xdr:colOff>
      <xdr:row>1</xdr:row>
      <xdr:rowOff>70522</xdr:rowOff>
    </xdr:from>
    <xdr:to>
      <xdr:col>8</xdr:col>
      <xdr:colOff>2857500</xdr:colOff>
      <xdr:row>8</xdr:row>
      <xdr:rowOff>95841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895"/>
  <sheetViews>
    <sheetView tabSelected="1" zoomScale="115" zoomScaleNormal="115" workbookViewId="0">
      <pane ySplit="4" topLeftCell="A249" activePane="bottomLeft" state="frozen"/>
      <selection pane="bottomLeft" activeCell="G248" sqref="G248"/>
    </sheetView>
  </sheetViews>
  <sheetFormatPr defaultRowHeight="21" x14ac:dyDescent="0.25"/>
  <cols>
    <col min="1" max="1" width="4.28515625" style="341" customWidth="1"/>
    <col min="2" max="2" width="44.140625" style="342" customWidth="1"/>
    <col min="3" max="3" width="23.85546875" style="342" customWidth="1"/>
    <col min="4" max="4" width="4.28515625" style="343" customWidth="1"/>
    <col min="5" max="5" width="17.7109375" style="22" hidden="1" customWidth="1"/>
    <col min="6" max="6" width="9.42578125" style="2" customWidth="1"/>
    <col min="7" max="7" width="65" style="8" customWidth="1"/>
    <col min="8" max="8" width="4.42578125" style="88" customWidth="1"/>
    <col min="9" max="9" width="4.7109375" style="229" customWidth="1"/>
    <col min="10" max="16384" width="9.140625" style="28"/>
  </cols>
  <sheetData>
    <row r="1" spans="1:9" s="92" customFormat="1" ht="45.75" customHeight="1" x14ac:dyDescent="0.35">
      <c r="A1" s="410" t="s">
        <v>1605</v>
      </c>
      <c r="B1" s="410"/>
      <c r="C1" s="410"/>
      <c r="D1" s="410"/>
      <c r="E1" s="411"/>
      <c r="F1" s="410"/>
      <c r="G1" s="410"/>
      <c r="H1" s="88"/>
      <c r="I1" s="229"/>
    </row>
    <row r="2" spans="1:9" x14ac:dyDescent="0.25">
      <c r="A2" s="338"/>
      <c r="B2" s="338"/>
      <c r="C2" s="338"/>
      <c r="D2" s="339"/>
      <c r="E2" s="166"/>
      <c r="F2" s="202"/>
      <c r="G2" s="11"/>
    </row>
    <row r="3" spans="1:9" x14ac:dyDescent="0.25">
      <c r="A3" s="412" t="s">
        <v>1604</v>
      </c>
      <c r="B3" s="412"/>
      <c r="C3" s="412"/>
      <c r="D3" s="412"/>
      <c r="E3" s="203" t="s">
        <v>1023</v>
      </c>
      <c r="F3" s="203" t="s">
        <v>1022</v>
      </c>
      <c r="G3" s="201" t="s">
        <v>1021</v>
      </c>
      <c r="I3" s="372" t="s">
        <v>1696</v>
      </c>
    </row>
    <row r="4" spans="1:9" x14ac:dyDescent="0.25">
      <c r="A4" s="340"/>
      <c r="B4" s="340"/>
      <c r="C4" s="340"/>
      <c r="D4" s="340"/>
      <c r="E4" s="109"/>
      <c r="F4" s="109"/>
      <c r="G4" s="110"/>
      <c r="H4" s="90"/>
    </row>
    <row r="5" spans="1:9" x14ac:dyDescent="0.25">
      <c r="A5" s="417" t="s">
        <v>608</v>
      </c>
      <c r="B5" s="417"/>
      <c r="C5" s="417"/>
      <c r="D5" s="417"/>
      <c r="E5" s="109"/>
      <c r="F5" s="109"/>
      <c r="G5" s="110"/>
    </row>
    <row r="6" spans="1:9" x14ac:dyDescent="0.25">
      <c r="A6" s="170" t="s">
        <v>0</v>
      </c>
      <c r="B6" s="116" t="s">
        <v>3</v>
      </c>
      <c r="C6" s="116" t="s">
        <v>259</v>
      </c>
      <c r="D6" s="117">
        <v>1</v>
      </c>
      <c r="E6" s="118" t="str">
        <f>G6</f>
        <v>Nur Wahyudi</v>
      </c>
      <c r="F6" s="118"/>
      <c r="G6" s="9" t="s">
        <v>1347</v>
      </c>
      <c r="H6" s="89"/>
    </row>
    <row r="7" spans="1:9" x14ac:dyDescent="0.25">
      <c r="A7" s="170" t="s">
        <v>1</v>
      </c>
      <c r="B7" s="116" t="s">
        <v>4</v>
      </c>
      <c r="C7" s="116" t="s">
        <v>260</v>
      </c>
      <c r="D7" s="117">
        <f>D6+1</f>
        <v>2</v>
      </c>
      <c r="E7" s="327">
        <f>G7</f>
        <v>43613</v>
      </c>
      <c r="F7" s="118"/>
      <c r="G7" s="326">
        <v>43613</v>
      </c>
      <c r="H7" s="89"/>
    </row>
    <row r="8" spans="1:9" x14ac:dyDescent="0.25">
      <c r="A8" s="170" t="s">
        <v>2</v>
      </c>
      <c r="B8" s="116" t="s">
        <v>5</v>
      </c>
      <c r="C8" s="116" t="s">
        <v>261</v>
      </c>
      <c r="D8" s="117">
        <f>D7+1</f>
        <v>3</v>
      </c>
      <c r="E8" s="118" t="str">
        <f t="shared" ref="E8:E78" si="0">G8</f>
        <v>081235363990</v>
      </c>
      <c r="F8" s="118"/>
      <c r="G8" s="10" t="s">
        <v>1599</v>
      </c>
      <c r="H8" s="89"/>
    </row>
    <row r="9" spans="1:9" x14ac:dyDescent="0.25">
      <c r="A9" s="413" t="s">
        <v>607</v>
      </c>
      <c r="B9" s="414"/>
      <c r="C9" s="415"/>
      <c r="D9" s="171"/>
      <c r="E9" s="118"/>
      <c r="F9" s="18"/>
      <c r="G9" s="10"/>
    </row>
    <row r="10" spans="1:9" x14ac:dyDescent="0.25">
      <c r="A10" s="153">
        <v>101</v>
      </c>
      <c r="B10" s="119" t="s">
        <v>6</v>
      </c>
      <c r="C10" s="119" t="s">
        <v>262</v>
      </c>
      <c r="D10" s="117">
        <f>D8+1</f>
        <v>4</v>
      </c>
      <c r="E10" s="118" t="str">
        <f t="shared" si="0"/>
        <v>SUPRIANTO</v>
      </c>
      <c r="F10" s="118"/>
      <c r="G10" s="9" t="s">
        <v>1348</v>
      </c>
      <c r="H10" s="89"/>
    </row>
    <row r="11" spans="1:9" x14ac:dyDescent="0.25">
      <c r="A11" s="153">
        <f>A10+1</f>
        <v>102</v>
      </c>
      <c r="B11" s="119" t="s">
        <v>7</v>
      </c>
      <c r="C11" s="119" t="s">
        <v>263</v>
      </c>
      <c r="D11" s="117">
        <f>D10+1</f>
        <v>5</v>
      </c>
      <c r="E11" s="118" t="str">
        <f t="shared" si="0"/>
        <v>SEKRETARIS DESA</v>
      </c>
      <c r="F11" s="118"/>
      <c r="G11" s="9" t="s">
        <v>1349</v>
      </c>
      <c r="H11" s="89"/>
    </row>
    <row r="12" spans="1:9" x14ac:dyDescent="0.25">
      <c r="A12" s="153">
        <f t="shared" ref="A12:A14" si="1">A11+1</f>
        <v>103</v>
      </c>
      <c r="B12" s="119" t="s">
        <v>1600</v>
      </c>
      <c r="C12" s="119" t="s">
        <v>264</v>
      </c>
      <c r="D12" s="117">
        <f t="shared" ref="D12:D68" si="2">D11+1</f>
        <v>6</v>
      </c>
      <c r="E12" s="118" t="str">
        <f t="shared" si="0"/>
        <v>082233962334</v>
      </c>
      <c r="F12" s="118"/>
      <c r="G12" s="10" t="s">
        <v>1601</v>
      </c>
      <c r="H12" s="89"/>
    </row>
    <row r="13" spans="1:9" x14ac:dyDescent="0.25">
      <c r="A13" s="153">
        <f t="shared" si="1"/>
        <v>104</v>
      </c>
      <c r="B13" s="119" t="s">
        <v>8</v>
      </c>
      <c r="C13" s="119" t="s">
        <v>265</v>
      </c>
      <c r="D13" s="117">
        <f t="shared" si="2"/>
        <v>7</v>
      </c>
      <c r="E13" s="327">
        <f t="shared" si="0"/>
        <v>28045</v>
      </c>
      <c r="F13" s="118"/>
      <c r="G13" s="326">
        <v>28045</v>
      </c>
      <c r="H13" s="89"/>
    </row>
    <row r="14" spans="1:9" x14ac:dyDescent="0.25">
      <c r="A14" s="153">
        <f t="shared" si="1"/>
        <v>105</v>
      </c>
      <c r="B14" s="119" t="s">
        <v>9</v>
      </c>
      <c r="C14" s="119" t="s">
        <v>266</v>
      </c>
      <c r="D14" s="117">
        <f t="shared" si="2"/>
        <v>8</v>
      </c>
      <c r="E14" s="118">
        <f t="shared" si="0"/>
        <v>1</v>
      </c>
      <c r="F14" s="118"/>
      <c r="G14" s="9">
        <v>1</v>
      </c>
      <c r="H14" s="89"/>
    </row>
    <row r="15" spans="1:9" x14ac:dyDescent="0.25">
      <c r="A15" s="387">
        <f>A14+1</f>
        <v>106</v>
      </c>
      <c r="B15" s="119" t="s">
        <v>10</v>
      </c>
      <c r="C15" s="119" t="s">
        <v>267</v>
      </c>
      <c r="D15" s="117">
        <f t="shared" si="2"/>
        <v>9</v>
      </c>
      <c r="E15" s="118">
        <f t="shared" si="0"/>
        <v>35</v>
      </c>
      <c r="F15" s="118"/>
      <c r="G15" s="9">
        <v>35</v>
      </c>
      <c r="H15" s="89"/>
    </row>
    <row r="16" spans="1:9" x14ac:dyDescent="0.25">
      <c r="A16" s="389"/>
      <c r="B16" s="119" t="s">
        <v>11</v>
      </c>
      <c r="C16" s="119" t="s">
        <v>268</v>
      </c>
      <c r="D16" s="117">
        <f t="shared" si="2"/>
        <v>10</v>
      </c>
      <c r="E16" s="118" t="str">
        <f t="shared" si="0"/>
        <v>JAWA TIMUR</v>
      </c>
      <c r="F16" s="118"/>
      <c r="G16" s="9" t="s">
        <v>1350</v>
      </c>
      <c r="H16" s="89"/>
    </row>
    <row r="17" spans="1:8" x14ac:dyDescent="0.25">
      <c r="A17" s="387">
        <f>A15+1</f>
        <v>107</v>
      </c>
      <c r="B17" s="119" t="s">
        <v>12</v>
      </c>
      <c r="C17" s="119" t="s">
        <v>269</v>
      </c>
      <c r="D17" s="117">
        <f t="shared" si="2"/>
        <v>11</v>
      </c>
      <c r="E17" s="118">
        <f t="shared" si="0"/>
        <v>3507</v>
      </c>
      <c r="F17" s="118"/>
      <c r="G17" s="9">
        <v>3507</v>
      </c>
      <c r="H17" s="89"/>
    </row>
    <row r="18" spans="1:8" x14ac:dyDescent="0.25">
      <c r="A18" s="389"/>
      <c r="B18" s="119" t="s">
        <v>13</v>
      </c>
      <c r="C18" s="119" t="s">
        <v>270</v>
      </c>
      <c r="D18" s="117">
        <f t="shared" si="2"/>
        <v>12</v>
      </c>
      <c r="E18" s="118" t="str">
        <f t="shared" si="0"/>
        <v>KABUPATEN MALANG</v>
      </c>
      <c r="F18" s="118"/>
      <c r="G18" s="9" t="s">
        <v>1351</v>
      </c>
      <c r="H18" s="89"/>
    </row>
    <row r="19" spans="1:8" x14ac:dyDescent="0.25">
      <c r="A19" s="387">
        <f>A17+1</f>
        <v>108</v>
      </c>
      <c r="B19" s="119" t="s">
        <v>14</v>
      </c>
      <c r="C19" s="119" t="s">
        <v>271</v>
      </c>
      <c r="D19" s="117">
        <f t="shared" si="2"/>
        <v>13</v>
      </c>
      <c r="E19" s="118">
        <f t="shared" si="0"/>
        <v>350729</v>
      </c>
      <c r="F19" s="118"/>
      <c r="G19" s="9">
        <v>350729</v>
      </c>
      <c r="H19" s="89"/>
    </row>
    <row r="20" spans="1:8" x14ac:dyDescent="0.25">
      <c r="A20" s="389"/>
      <c r="B20" s="119" t="s">
        <v>15</v>
      </c>
      <c r="C20" s="119" t="s">
        <v>272</v>
      </c>
      <c r="D20" s="117">
        <f t="shared" si="2"/>
        <v>14</v>
      </c>
      <c r="E20" s="118" t="str">
        <f t="shared" si="0"/>
        <v>GEDANGAN</v>
      </c>
      <c r="F20" s="118"/>
      <c r="G20" s="9" t="s">
        <v>1352</v>
      </c>
      <c r="H20" s="89"/>
    </row>
    <row r="21" spans="1:8" x14ac:dyDescent="0.25">
      <c r="A21" s="387">
        <f t="shared" ref="A21" si="3">A19+1</f>
        <v>109</v>
      </c>
      <c r="B21" s="119" t="s">
        <v>16</v>
      </c>
      <c r="C21" s="119" t="s">
        <v>273</v>
      </c>
      <c r="D21" s="117">
        <f t="shared" si="2"/>
        <v>15</v>
      </c>
      <c r="E21" s="118">
        <f t="shared" si="0"/>
        <v>3507292004</v>
      </c>
      <c r="F21" s="118"/>
      <c r="G21" s="9">
        <v>3507292004</v>
      </c>
      <c r="H21" s="89"/>
    </row>
    <row r="22" spans="1:8" x14ac:dyDescent="0.25">
      <c r="A22" s="389"/>
      <c r="B22" s="119" t="s">
        <v>17</v>
      </c>
      <c r="C22" s="119" t="s">
        <v>274</v>
      </c>
      <c r="D22" s="117">
        <f t="shared" si="2"/>
        <v>16</v>
      </c>
      <c r="E22" s="118" t="str">
        <f t="shared" si="0"/>
        <v>GEDANGAN</v>
      </c>
      <c r="F22" s="118"/>
      <c r="G22" s="9" t="s">
        <v>1352</v>
      </c>
      <c r="H22" s="89"/>
    </row>
    <row r="23" spans="1:8" x14ac:dyDescent="0.25">
      <c r="A23" s="387">
        <f t="shared" ref="A23" si="4">A21+1</f>
        <v>110</v>
      </c>
      <c r="B23" s="121" t="s">
        <v>18</v>
      </c>
      <c r="C23" s="119" t="s">
        <v>809</v>
      </c>
      <c r="D23" s="117">
        <f t="shared" si="2"/>
        <v>17</v>
      </c>
      <c r="E23" s="120" t="str">
        <f t="shared" si="0"/>
        <v>15. 10 24</v>
      </c>
      <c r="F23" s="118" t="s">
        <v>1172</v>
      </c>
      <c r="G23" s="78" t="s">
        <v>1353</v>
      </c>
      <c r="H23" s="89"/>
    </row>
    <row r="24" spans="1:8" x14ac:dyDescent="0.25">
      <c r="A24" s="389"/>
      <c r="B24" s="122"/>
      <c r="C24" s="119" t="s">
        <v>810</v>
      </c>
      <c r="D24" s="117">
        <f t="shared" si="2"/>
        <v>18</v>
      </c>
      <c r="E24" s="120" t="str">
        <f t="shared" si="0"/>
        <v>30. 23 456</v>
      </c>
      <c r="F24" s="118" t="s">
        <v>1173</v>
      </c>
      <c r="G24" s="78" t="s">
        <v>1354</v>
      </c>
      <c r="H24" s="89"/>
    </row>
    <row r="25" spans="1:8" ht="31.5" x14ac:dyDescent="0.25">
      <c r="A25" s="387">
        <f>A23+1</f>
        <v>111</v>
      </c>
      <c r="B25" s="119" t="s">
        <v>811</v>
      </c>
      <c r="C25" s="119" t="s">
        <v>275</v>
      </c>
      <c r="D25" s="117">
        <f t="shared" si="2"/>
        <v>19</v>
      </c>
      <c r="E25" s="118" t="str">
        <f t="shared" si="0"/>
        <v>Jl Diponegoro Gedangan Kec Gedangan Kab Malang</v>
      </c>
      <c r="F25" s="118"/>
      <c r="G25" s="9" t="s">
        <v>1355</v>
      </c>
      <c r="H25" s="89"/>
    </row>
    <row r="26" spans="1:8" x14ac:dyDescent="0.25">
      <c r="A26" s="388"/>
      <c r="B26" s="119" t="s">
        <v>1183</v>
      </c>
      <c r="C26" s="119" t="s">
        <v>1076</v>
      </c>
      <c r="D26" s="117">
        <f t="shared" si="2"/>
        <v>20</v>
      </c>
      <c r="E26" s="118" t="str">
        <f t="shared" si="0"/>
        <v>HENDIK KRISDIANTO</v>
      </c>
      <c r="F26" s="118"/>
      <c r="G26" s="9" t="s">
        <v>1356</v>
      </c>
      <c r="H26" s="89"/>
    </row>
    <row r="27" spans="1:8" x14ac:dyDescent="0.25">
      <c r="A27" s="389"/>
      <c r="B27" s="119" t="s">
        <v>1077</v>
      </c>
      <c r="C27" s="119" t="s">
        <v>1122</v>
      </c>
      <c r="D27" s="117">
        <f t="shared" si="2"/>
        <v>21</v>
      </c>
      <c r="E27" s="118">
        <f t="shared" si="0"/>
        <v>1</v>
      </c>
      <c r="F27" s="118"/>
      <c r="G27" s="9">
        <v>1</v>
      </c>
      <c r="H27" s="89"/>
    </row>
    <row r="28" spans="1:8" x14ac:dyDescent="0.25">
      <c r="A28" s="387">
        <f>A25+1</f>
        <v>112</v>
      </c>
      <c r="B28" s="119" t="s">
        <v>1221</v>
      </c>
      <c r="C28" s="119" t="s">
        <v>1222</v>
      </c>
      <c r="D28" s="117">
        <f t="shared" si="2"/>
        <v>22</v>
      </c>
      <c r="E28" s="118" t="str">
        <f t="shared" si="0"/>
        <v>HENDIK KRISDIANTO</v>
      </c>
      <c r="F28" s="118"/>
      <c r="G28" s="9" t="s">
        <v>1356</v>
      </c>
      <c r="H28" s="89"/>
    </row>
    <row r="29" spans="1:8" x14ac:dyDescent="0.25">
      <c r="A29" s="389"/>
      <c r="B29" s="119" t="s">
        <v>1223</v>
      </c>
      <c r="C29" s="119" t="s">
        <v>1224</v>
      </c>
      <c r="D29" s="117">
        <f t="shared" si="2"/>
        <v>23</v>
      </c>
      <c r="E29" s="118">
        <f t="shared" si="0"/>
        <v>1</v>
      </c>
      <c r="F29" s="118"/>
      <c r="G29" s="9">
        <v>1</v>
      </c>
      <c r="H29" s="89"/>
    </row>
    <row r="30" spans="1:8" x14ac:dyDescent="0.25">
      <c r="A30" s="153">
        <f>A28+1</f>
        <v>113</v>
      </c>
      <c r="B30" s="119" t="s">
        <v>1225</v>
      </c>
      <c r="C30" s="119" t="s">
        <v>1226</v>
      </c>
      <c r="D30" s="117">
        <f t="shared" si="2"/>
        <v>24</v>
      </c>
      <c r="E30" s="118">
        <f t="shared" si="0"/>
        <v>85649508080</v>
      </c>
      <c r="F30" s="118"/>
      <c r="G30" s="10">
        <v>85649508080</v>
      </c>
      <c r="H30" s="89"/>
    </row>
    <row r="31" spans="1:8" x14ac:dyDescent="0.25">
      <c r="A31" s="153">
        <f>A30+1</f>
        <v>114</v>
      </c>
      <c r="B31" s="119" t="s">
        <v>19</v>
      </c>
      <c r="C31" s="119" t="s">
        <v>276</v>
      </c>
      <c r="D31" s="117">
        <f t="shared" si="2"/>
        <v>25</v>
      </c>
      <c r="E31" s="118">
        <f t="shared" si="0"/>
        <v>0</v>
      </c>
      <c r="F31" s="118"/>
      <c r="G31" s="9">
        <v>0</v>
      </c>
      <c r="H31" s="89"/>
    </row>
    <row r="32" spans="1:8" x14ac:dyDescent="0.25">
      <c r="A32" s="153">
        <f t="shared" ref="A32:A38" si="5">A31+1</f>
        <v>115</v>
      </c>
      <c r="B32" s="119" t="s">
        <v>1212</v>
      </c>
      <c r="C32" s="119" t="s">
        <v>277</v>
      </c>
      <c r="D32" s="117">
        <f t="shared" si="2"/>
        <v>26</v>
      </c>
      <c r="E32" s="118" t="str">
        <f t="shared" si="0"/>
        <v>deagedangan@yahoo.com</v>
      </c>
      <c r="F32" s="118"/>
      <c r="G32" s="9" t="s">
        <v>1357</v>
      </c>
      <c r="H32" s="89"/>
    </row>
    <row r="33" spans="1:8" x14ac:dyDescent="0.25">
      <c r="A33" s="153">
        <f t="shared" si="5"/>
        <v>116</v>
      </c>
      <c r="B33" s="119" t="s">
        <v>1208</v>
      </c>
      <c r="C33" s="119" t="s">
        <v>1213</v>
      </c>
      <c r="D33" s="117">
        <f t="shared" si="2"/>
        <v>27</v>
      </c>
      <c r="E33" s="118">
        <f t="shared" si="0"/>
        <v>0</v>
      </c>
      <c r="F33" s="118"/>
      <c r="G33" s="9">
        <v>0</v>
      </c>
      <c r="H33" s="89"/>
    </row>
    <row r="34" spans="1:8" x14ac:dyDescent="0.25">
      <c r="A34" s="153">
        <f t="shared" si="5"/>
        <v>117</v>
      </c>
      <c r="B34" s="119" t="s">
        <v>1209</v>
      </c>
      <c r="C34" s="119" t="s">
        <v>1214</v>
      </c>
      <c r="D34" s="117">
        <f t="shared" si="2"/>
        <v>28</v>
      </c>
      <c r="E34" s="118">
        <f t="shared" si="0"/>
        <v>0</v>
      </c>
      <c r="F34" s="118"/>
      <c r="G34" s="9">
        <v>0</v>
      </c>
      <c r="H34" s="89"/>
    </row>
    <row r="35" spans="1:8" x14ac:dyDescent="0.25">
      <c r="A35" s="153">
        <f t="shared" si="5"/>
        <v>118</v>
      </c>
      <c r="B35" s="119" t="s">
        <v>1210</v>
      </c>
      <c r="C35" s="119" t="s">
        <v>1215</v>
      </c>
      <c r="D35" s="117">
        <f t="shared" si="2"/>
        <v>29</v>
      </c>
      <c r="E35" s="118">
        <f t="shared" si="0"/>
        <v>0</v>
      </c>
      <c r="F35" s="118"/>
      <c r="G35" s="9">
        <v>0</v>
      </c>
      <c r="H35" s="89"/>
    </row>
    <row r="36" spans="1:8" x14ac:dyDescent="0.25">
      <c r="A36" s="153">
        <f t="shared" si="5"/>
        <v>119</v>
      </c>
      <c r="B36" s="119" t="s">
        <v>1211</v>
      </c>
      <c r="C36" s="119" t="s">
        <v>1216</v>
      </c>
      <c r="D36" s="117">
        <f t="shared" si="2"/>
        <v>30</v>
      </c>
      <c r="E36" s="118">
        <f t="shared" si="0"/>
        <v>0</v>
      </c>
      <c r="F36" s="118"/>
      <c r="G36" s="9">
        <v>0</v>
      </c>
      <c r="H36" s="89"/>
    </row>
    <row r="37" spans="1:8" x14ac:dyDescent="0.25">
      <c r="A37" s="153">
        <f t="shared" si="5"/>
        <v>120</v>
      </c>
      <c r="B37" s="119" t="s">
        <v>1227</v>
      </c>
      <c r="C37" s="119" t="s">
        <v>1228</v>
      </c>
      <c r="D37" s="117">
        <f t="shared" si="2"/>
        <v>31</v>
      </c>
      <c r="E37" s="118">
        <f t="shared" si="0"/>
        <v>5</v>
      </c>
      <c r="F37" s="118"/>
      <c r="G37" s="9">
        <v>5</v>
      </c>
      <c r="H37" s="89"/>
    </row>
    <row r="38" spans="1:8" x14ac:dyDescent="0.25">
      <c r="A38" s="153">
        <f t="shared" si="5"/>
        <v>121</v>
      </c>
      <c r="B38" s="119" t="s">
        <v>1231</v>
      </c>
      <c r="C38" s="119" t="s">
        <v>1229</v>
      </c>
      <c r="D38" s="117">
        <f t="shared" si="2"/>
        <v>32</v>
      </c>
      <c r="E38" s="118" t="str">
        <f t="shared" si="0"/>
        <v>2 Tahun</v>
      </c>
      <c r="F38" s="118" t="s">
        <v>813</v>
      </c>
      <c r="G38" s="9" t="s">
        <v>1358</v>
      </c>
      <c r="H38" s="89"/>
    </row>
    <row r="39" spans="1:8" x14ac:dyDescent="0.25">
      <c r="A39" s="153">
        <f t="shared" ref="A39:A40" si="6">A38+1</f>
        <v>122</v>
      </c>
      <c r="B39" s="119" t="s">
        <v>1230</v>
      </c>
      <c r="C39" s="119" t="s">
        <v>1232</v>
      </c>
      <c r="D39" s="117">
        <f t="shared" si="2"/>
        <v>33</v>
      </c>
      <c r="E39" s="118">
        <f t="shared" ref="E39:E40" si="7">G39</f>
        <v>3</v>
      </c>
      <c r="F39" s="118"/>
      <c r="G39" s="9">
        <v>3</v>
      </c>
      <c r="H39" s="89"/>
    </row>
    <row r="40" spans="1:8" x14ac:dyDescent="0.25">
      <c r="A40" s="153">
        <f t="shared" si="6"/>
        <v>123</v>
      </c>
      <c r="B40" s="119" t="s">
        <v>1233</v>
      </c>
      <c r="C40" s="119" t="s">
        <v>1234</v>
      </c>
      <c r="D40" s="117">
        <f t="shared" si="2"/>
        <v>34</v>
      </c>
      <c r="E40" s="118" t="str">
        <f t="shared" si="7"/>
        <v>2 Tahun</v>
      </c>
      <c r="F40" s="118" t="s">
        <v>813</v>
      </c>
      <c r="G40" s="9" t="s">
        <v>1358</v>
      </c>
      <c r="H40" s="89"/>
    </row>
    <row r="41" spans="1:8" x14ac:dyDescent="0.25">
      <c r="A41" s="387">
        <f>A40+1</f>
        <v>124</v>
      </c>
      <c r="B41" s="121" t="s">
        <v>606</v>
      </c>
      <c r="C41" s="119" t="s">
        <v>278</v>
      </c>
      <c r="D41" s="117">
        <f t="shared" si="2"/>
        <v>35</v>
      </c>
      <c r="E41" s="118">
        <f t="shared" si="0"/>
        <v>1</v>
      </c>
      <c r="F41" s="118" t="s">
        <v>612</v>
      </c>
      <c r="G41" s="9">
        <v>1</v>
      </c>
      <c r="H41" s="89"/>
    </row>
    <row r="42" spans="1:8" x14ac:dyDescent="0.25">
      <c r="A42" s="388"/>
      <c r="B42" s="122"/>
      <c r="C42" s="119" t="s">
        <v>279</v>
      </c>
      <c r="D42" s="117">
        <f t="shared" si="2"/>
        <v>36</v>
      </c>
      <c r="E42" s="118">
        <f t="shared" si="0"/>
        <v>0</v>
      </c>
      <c r="F42" s="118" t="s">
        <v>612</v>
      </c>
      <c r="G42" s="9">
        <v>0</v>
      </c>
      <c r="H42" s="89"/>
    </row>
    <row r="43" spans="1:8" x14ac:dyDescent="0.25">
      <c r="A43" s="388"/>
      <c r="B43" s="121" t="s">
        <v>1031</v>
      </c>
      <c r="C43" s="119" t="s">
        <v>280</v>
      </c>
      <c r="D43" s="117">
        <f t="shared" si="2"/>
        <v>37</v>
      </c>
      <c r="E43" s="118">
        <f t="shared" si="0"/>
        <v>1</v>
      </c>
      <c r="F43" s="118" t="s">
        <v>612</v>
      </c>
      <c r="G43" s="9">
        <v>1</v>
      </c>
      <c r="H43" s="89"/>
    </row>
    <row r="44" spans="1:8" x14ac:dyDescent="0.25">
      <c r="A44" s="388"/>
      <c r="B44" s="122"/>
      <c r="C44" s="119" t="s">
        <v>281</v>
      </c>
      <c r="D44" s="117">
        <f t="shared" si="2"/>
        <v>38</v>
      </c>
      <c r="E44" s="118">
        <f t="shared" si="0"/>
        <v>0</v>
      </c>
      <c r="F44" s="118" t="s">
        <v>612</v>
      </c>
      <c r="G44" s="9">
        <v>0</v>
      </c>
      <c r="H44" s="89"/>
    </row>
    <row r="45" spans="1:8" x14ac:dyDescent="0.25">
      <c r="A45" s="388"/>
      <c r="B45" s="121" t="s">
        <v>1032</v>
      </c>
      <c r="C45" s="119" t="s">
        <v>282</v>
      </c>
      <c r="D45" s="117">
        <f t="shared" si="2"/>
        <v>39</v>
      </c>
      <c r="E45" s="118">
        <f t="shared" si="0"/>
        <v>1</v>
      </c>
      <c r="F45" s="118" t="s">
        <v>612</v>
      </c>
      <c r="G45" s="9">
        <v>1</v>
      </c>
      <c r="H45" s="89"/>
    </row>
    <row r="46" spans="1:8" x14ac:dyDescent="0.25">
      <c r="A46" s="388"/>
      <c r="B46" s="122"/>
      <c r="C46" s="119" t="s">
        <v>283</v>
      </c>
      <c r="D46" s="117">
        <f t="shared" si="2"/>
        <v>40</v>
      </c>
      <c r="E46" s="118">
        <f t="shared" si="0"/>
        <v>0</v>
      </c>
      <c r="F46" s="118" t="s">
        <v>612</v>
      </c>
      <c r="G46" s="9">
        <v>0</v>
      </c>
      <c r="H46" s="89"/>
    </row>
    <row r="47" spans="1:8" x14ac:dyDescent="0.25">
      <c r="A47" s="388"/>
      <c r="B47" s="121" t="s">
        <v>1033</v>
      </c>
      <c r="C47" s="119" t="s">
        <v>284</v>
      </c>
      <c r="D47" s="117">
        <f t="shared" si="2"/>
        <v>41</v>
      </c>
      <c r="E47" s="118">
        <f t="shared" si="0"/>
        <v>1</v>
      </c>
      <c r="F47" s="118" t="s">
        <v>612</v>
      </c>
      <c r="G47" s="9">
        <v>1</v>
      </c>
      <c r="H47" s="89"/>
    </row>
    <row r="48" spans="1:8" x14ac:dyDescent="0.25">
      <c r="A48" s="388"/>
      <c r="B48" s="122"/>
      <c r="C48" s="119" t="s">
        <v>285</v>
      </c>
      <c r="D48" s="117">
        <f t="shared" si="2"/>
        <v>42</v>
      </c>
      <c r="E48" s="118">
        <f t="shared" si="0"/>
        <v>0</v>
      </c>
      <c r="F48" s="118" t="s">
        <v>612</v>
      </c>
      <c r="G48" s="9">
        <v>0</v>
      </c>
      <c r="H48" s="89"/>
    </row>
    <row r="49" spans="1:8" x14ac:dyDescent="0.25">
      <c r="A49" s="388"/>
      <c r="B49" s="121" t="s">
        <v>20</v>
      </c>
      <c r="C49" s="119" t="s">
        <v>286</v>
      </c>
      <c r="D49" s="117">
        <f t="shared" si="2"/>
        <v>43</v>
      </c>
      <c r="E49" s="118">
        <f t="shared" si="0"/>
        <v>1</v>
      </c>
      <c r="F49" s="118" t="s">
        <v>612</v>
      </c>
      <c r="G49" s="9">
        <v>1</v>
      </c>
      <c r="H49" s="89"/>
    </row>
    <row r="50" spans="1:8" x14ac:dyDescent="0.25">
      <c r="A50" s="388"/>
      <c r="B50" s="122"/>
      <c r="C50" s="119" t="s">
        <v>287</v>
      </c>
      <c r="D50" s="117">
        <f t="shared" si="2"/>
        <v>44</v>
      </c>
      <c r="E50" s="118">
        <f t="shared" si="0"/>
        <v>0</v>
      </c>
      <c r="F50" s="118" t="s">
        <v>612</v>
      </c>
      <c r="G50" s="9">
        <v>0</v>
      </c>
      <c r="H50" s="89"/>
    </row>
    <row r="51" spans="1:8" x14ac:dyDescent="0.25">
      <c r="A51" s="388"/>
      <c r="B51" s="121" t="s">
        <v>21</v>
      </c>
      <c r="C51" s="119" t="s">
        <v>288</v>
      </c>
      <c r="D51" s="117">
        <f t="shared" si="2"/>
        <v>45</v>
      </c>
      <c r="E51" s="118">
        <f t="shared" si="0"/>
        <v>1</v>
      </c>
      <c r="F51" s="118" t="s">
        <v>612</v>
      </c>
      <c r="G51" s="9">
        <v>1</v>
      </c>
      <c r="H51" s="89"/>
    </row>
    <row r="52" spans="1:8" x14ac:dyDescent="0.25">
      <c r="A52" s="388"/>
      <c r="B52" s="122"/>
      <c r="C52" s="119" t="s">
        <v>289</v>
      </c>
      <c r="D52" s="117">
        <f t="shared" si="2"/>
        <v>46</v>
      </c>
      <c r="E52" s="118">
        <f t="shared" si="0"/>
        <v>0</v>
      </c>
      <c r="F52" s="118" t="s">
        <v>612</v>
      </c>
      <c r="G52" s="9">
        <v>0</v>
      </c>
      <c r="H52" s="89"/>
    </row>
    <row r="53" spans="1:8" x14ac:dyDescent="0.25">
      <c r="A53" s="388"/>
      <c r="B53" s="121" t="s">
        <v>22</v>
      </c>
      <c r="C53" s="119" t="s">
        <v>290</v>
      </c>
      <c r="D53" s="117">
        <f t="shared" si="2"/>
        <v>47</v>
      </c>
      <c r="E53" s="118">
        <f t="shared" si="0"/>
        <v>1</v>
      </c>
      <c r="F53" s="118" t="s">
        <v>612</v>
      </c>
      <c r="G53" s="9">
        <v>1</v>
      </c>
      <c r="H53" s="89"/>
    </row>
    <row r="54" spans="1:8" x14ac:dyDescent="0.25">
      <c r="A54" s="388"/>
      <c r="B54" s="122"/>
      <c r="C54" s="119" t="s">
        <v>291</v>
      </c>
      <c r="D54" s="117">
        <f t="shared" si="2"/>
        <v>48</v>
      </c>
      <c r="E54" s="118">
        <f t="shared" si="0"/>
        <v>0</v>
      </c>
      <c r="F54" s="118" t="s">
        <v>612</v>
      </c>
      <c r="G54" s="9">
        <v>0</v>
      </c>
      <c r="H54" s="89"/>
    </row>
    <row r="55" spans="1:8" x14ac:dyDescent="0.25">
      <c r="A55" s="388"/>
      <c r="B55" s="121" t="s">
        <v>23</v>
      </c>
      <c r="C55" s="119" t="s">
        <v>292</v>
      </c>
      <c r="D55" s="117">
        <f t="shared" si="2"/>
        <v>49</v>
      </c>
      <c r="E55" s="118">
        <f t="shared" si="0"/>
        <v>1</v>
      </c>
      <c r="F55" s="118" t="s">
        <v>612</v>
      </c>
      <c r="G55" s="9">
        <v>1</v>
      </c>
      <c r="H55" s="89"/>
    </row>
    <row r="56" spans="1:8" x14ac:dyDescent="0.25">
      <c r="A56" s="388"/>
      <c r="B56" s="122"/>
      <c r="C56" s="119" t="s">
        <v>293</v>
      </c>
      <c r="D56" s="117">
        <f t="shared" si="2"/>
        <v>50</v>
      </c>
      <c r="E56" s="118">
        <f t="shared" si="0"/>
        <v>0</v>
      </c>
      <c r="F56" s="118" t="s">
        <v>612</v>
      </c>
      <c r="G56" s="9">
        <v>0</v>
      </c>
      <c r="H56" s="89"/>
    </row>
    <row r="57" spans="1:8" x14ac:dyDescent="0.25">
      <c r="A57" s="388"/>
      <c r="B57" s="121" t="s">
        <v>24</v>
      </c>
      <c r="C57" s="119" t="s">
        <v>294</v>
      </c>
      <c r="D57" s="117">
        <f t="shared" si="2"/>
        <v>51</v>
      </c>
      <c r="E57" s="118">
        <f t="shared" si="0"/>
        <v>1</v>
      </c>
      <c r="F57" s="118" t="s">
        <v>612</v>
      </c>
      <c r="G57" s="9">
        <v>1</v>
      </c>
      <c r="H57" s="89"/>
    </row>
    <row r="58" spans="1:8" x14ac:dyDescent="0.25">
      <c r="A58" s="388"/>
      <c r="B58" s="122"/>
      <c r="C58" s="119" t="s">
        <v>295</v>
      </c>
      <c r="D58" s="117">
        <f t="shared" si="2"/>
        <v>52</v>
      </c>
      <c r="E58" s="118">
        <f t="shared" si="0"/>
        <v>0</v>
      </c>
      <c r="F58" s="118" t="s">
        <v>612</v>
      </c>
      <c r="G58" s="9">
        <v>0</v>
      </c>
      <c r="H58" s="89"/>
    </row>
    <row r="59" spans="1:8" x14ac:dyDescent="0.25">
      <c r="A59" s="388"/>
      <c r="B59" s="121" t="s">
        <v>25</v>
      </c>
      <c r="C59" s="119" t="s">
        <v>296</v>
      </c>
      <c r="D59" s="117">
        <f t="shared" si="2"/>
        <v>53</v>
      </c>
      <c r="E59" s="118">
        <f t="shared" si="0"/>
        <v>1</v>
      </c>
      <c r="F59" s="118" t="s">
        <v>612</v>
      </c>
      <c r="G59" s="9">
        <v>1</v>
      </c>
      <c r="H59" s="89"/>
    </row>
    <row r="60" spans="1:8" x14ac:dyDescent="0.25">
      <c r="A60" s="388"/>
      <c r="B60" s="122"/>
      <c r="C60" s="119" t="s">
        <v>297</v>
      </c>
      <c r="D60" s="117">
        <f t="shared" si="2"/>
        <v>54</v>
      </c>
      <c r="E60" s="118">
        <f t="shared" si="0"/>
        <v>0</v>
      </c>
      <c r="F60" s="118" t="s">
        <v>612</v>
      </c>
      <c r="G60" s="9">
        <v>0</v>
      </c>
      <c r="H60" s="89"/>
    </row>
    <row r="61" spans="1:8" x14ac:dyDescent="0.25">
      <c r="A61" s="388"/>
      <c r="B61" s="121" t="s">
        <v>26</v>
      </c>
      <c r="C61" s="119" t="s">
        <v>298</v>
      </c>
      <c r="D61" s="117">
        <f t="shared" si="2"/>
        <v>55</v>
      </c>
      <c r="E61" s="118">
        <f t="shared" si="0"/>
        <v>1</v>
      </c>
      <c r="F61" s="118" t="s">
        <v>612</v>
      </c>
      <c r="G61" s="9">
        <v>1</v>
      </c>
      <c r="H61" s="89"/>
    </row>
    <row r="62" spans="1:8" x14ac:dyDescent="0.25">
      <c r="A62" s="388"/>
      <c r="B62" s="122"/>
      <c r="C62" s="119" t="s">
        <v>299</v>
      </c>
      <c r="D62" s="117">
        <f t="shared" si="2"/>
        <v>56</v>
      </c>
      <c r="E62" s="118">
        <f t="shared" si="0"/>
        <v>0</v>
      </c>
      <c r="F62" s="118" t="s">
        <v>612</v>
      </c>
      <c r="G62" s="9">
        <v>0</v>
      </c>
      <c r="H62" s="89"/>
    </row>
    <row r="63" spans="1:8" x14ac:dyDescent="0.25">
      <c r="A63" s="388"/>
      <c r="B63" s="121" t="s">
        <v>27</v>
      </c>
      <c r="C63" s="119" t="s">
        <v>300</v>
      </c>
      <c r="D63" s="117">
        <f t="shared" si="2"/>
        <v>57</v>
      </c>
      <c r="E63" s="118">
        <f t="shared" si="0"/>
        <v>1</v>
      </c>
      <c r="F63" s="118" t="s">
        <v>612</v>
      </c>
      <c r="G63" s="9">
        <v>1</v>
      </c>
      <c r="H63" s="89"/>
    </row>
    <row r="64" spans="1:8" x14ac:dyDescent="0.25">
      <c r="A64" s="388"/>
      <c r="B64" s="122"/>
      <c r="C64" s="119" t="s">
        <v>301</v>
      </c>
      <c r="D64" s="117">
        <f t="shared" si="2"/>
        <v>58</v>
      </c>
      <c r="E64" s="118">
        <f t="shared" si="0"/>
        <v>0</v>
      </c>
      <c r="F64" s="118" t="s">
        <v>612</v>
      </c>
      <c r="G64" s="9">
        <v>0</v>
      </c>
      <c r="H64" s="89"/>
    </row>
    <row r="65" spans="1:8" x14ac:dyDescent="0.25">
      <c r="A65" s="388"/>
      <c r="B65" s="121" t="s">
        <v>1182</v>
      </c>
      <c r="C65" s="119" t="s">
        <v>302</v>
      </c>
      <c r="D65" s="117">
        <f t="shared" si="2"/>
        <v>59</v>
      </c>
      <c r="E65" s="118">
        <f t="shared" si="0"/>
        <v>1</v>
      </c>
      <c r="F65" s="118" t="s">
        <v>612</v>
      </c>
      <c r="G65" s="9">
        <v>1</v>
      </c>
      <c r="H65" s="89"/>
    </row>
    <row r="66" spans="1:8" x14ac:dyDescent="0.25">
      <c r="A66" s="388"/>
      <c r="B66" s="122"/>
      <c r="C66" s="119" t="s">
        <v>303</v>
      </c>
      <c r="D66" s="117">
        <f t="shared" si="2"/>
        <v>60</v>
      </c>
      <c r="E66" s="118">
        <f t="shared" si="0"/>
        <v>0</v>
      </c>
      <c r="F66" s="118" t="s">
        <v>612</v>
      </c>
      <c r="G66" s="9">
        <v>0</v>
      </c>
      <c r="H66" s="89"/>
    </row>
    <row r="67" spans="1:8" x14ac:dyDescent="0.25">
      <c r="A67" s="388"/>
      <c r="B67" s="121" t="s">
        <v>28</v>
      </c>
      <c r="C67" s="119" t="s">
        <v>304</v>
      </c>
      <c r="D67" s="117">
        <f t="shared" si="2"/>
        <v>61</v>
      </c>
      <c r="E67" s="118">
        <f t="shared" si="0"/>
        <v>1</v>
      </c>
      <c r="F67" s="118" t="s">
        <v>612</v>
      </c>
      <c r="G67" s="9">
        <v>1</v>
      </c>
      <c r="H67" s="89"/>
    </row>
    <row r="68" spans="1:8" x14ac:dyDescent="0.25">
      <c r="A68" s="389"/>
      <c r="B68" s="122"/>
      <c r="C68" s="119" t="s">
        <v>305</v>
      </c>
      <c r="D68" s="117">
        <f t="shared" si="2"/>
        <v>62</v>
      </c>
      <c r="E68" s="118">
        <f t="shared" si="0"/>
        <v>0</v>
      </c>
      <c r="F68" s="118" t="s">
        <v>612</v>
      </c>
      <c r="G68" s="9">
        <v>0</v>
      </c>
      <c r="H68" s="89"/>
    </row>
    <row r="69" spans="1:8" x14ac:dyDescent="0.25">
      <c r="A69" s="413" t="s">
        <v>609</v>
      </c>
      <c r="B69" s="414"/>
      <c r="C69" s="415"/>
      <c r="D69" s="171"/>
      <c r="E69" s="118"/>
      <c r="F69" s="118"/>
      <c r="G69" s="9"/>
    </row>
    <row r="70" spans="1:8" x14ac:dyDescent="0.25">
      <c r="A70" s="172"/>
      <c r="B70" s="173" t="s">
        <v>610</v>
      </c>
      <c r="C70" s="174"/>
      <c r="D70" s="171"/>
      <c r="E70" s="118"/>
      <c r="F70" s="118"/>
      <c r="G70" s="9"/>
    </row>
    <row r="71" spans="1:8" x14ac:dyDescent="0.25">
      <c r="A71" s="175"/>
      <c r="B71" s="176" t="s">
        <v>991</v>
      </c>
      <c r="C71" s="177"/>
      <c r="D71" s="171"/>
      <c r="E71" s="118"/>
      <c r="F71" s="118"/>
      <c r="G71" s="9"/>
    </row>
    <row r="72" spans="1:8" x14ac:dyDescent="0.25">
      <c r="A72" s="153">
        <v>201</v>
      </c>
      <c r="B72" s="119" t="s">
        <v>29</v>
      </c>
      <c r="C72" s="119" t="s">
        <v>306</v>
      </c>
      <c r="D72" s="117">
        <f>D68+1</f>
        <v>63</v>
      </c>
      <c r="E72" s="118">
        <f t="shared" si="0"/>
        <v>19412</v>
      </c>
      <c r="F72" s="118" t="s">
        <v>812</v>
      </c>
      <c r="G72" s="9">
        <v>19412</v>
      </c>
      <c r="H72" s="89"/>
    </row>
    <row r="73" spans="1:8" x14ac:dyDescent="0.25">
      <c r="A73" s="153">
        <f>1+A72</f>
        <v>202</v>
      </c>
      <c r="B73" s="119" t="s">
        <v>30</v>
      </c>
      <c r="C73" s="119" t="s">
        <v>307</v>
      </c>
      <c r="D73" s="117">
        <f>D72+1</f>
        <v>64</v>
      </c>
      <c r="E73" s="118">
        <f t="shared" si="0"/>
        <v>65</v>
      </c>
      <c r="F73" s="118" t="s">
        <v>812</v>
      </c>
      <c r="G73" s="9">
        <v>65</v>
      </c>
      <c r="H73" s="89"/>
    </row>
    <row r="74" spans="1:8" x14ac:dyDescent="0.25">
      <c r="A74" s="172"/>
      <c r="B74" s="172" t="s">
        <v>611</v>
      </c>
      <c r="C74" s="174"/>
      <c r="D74" s="171"/>
      <c r="E74" s="118"/>
      <c r="F74" s="152"/>
      <c r="G74" s="9"/>
    </row>
    <row r="75" spans="1:8" x14ac:dyDescent="0.25">
      <c r="A75" s="153">
        <f>1+A73</f>
        <v>203</v>
      </c>
      <c r="B75" s="119" t="s">
        <v>31</v>
      </c>
      <c r="C75" s="119" t="s">
        <v>308</v>
      </c>
      <c r="D75" s="117">
        <f>D73+1</f>
        <v>65</v>
      </c>
      <c r="E75" s="118">
        <f t="shared" si="0"/>
        <v>2</v>
      </c>
      <c r="F75" s="118"/>
      <c r="G75" s="9">
        <v>2</v>
      </c>
      <c r="H75" s="89"/>
    </row>
    <row r="76" spans="1:8" x14ac:dyDescent="0.25">
      <c r="A76" s="172"/>
      <c r="B76" s="172" t="s">
        <v>613</v>
      </c>
      <c r="C76" s="174"/>
      <c r="D76" s="171"/>
      <c r="E76" s="118"/>
      <c r="F76" s="152"/>
      <c r="G76" s="9"/>
    </row>
    <row r="77" spans="1:8" x14ac:dyDescent="0.25">
      <c r="A77" s="178"/>
      <c r="B77" s="179" t="s">
        <v>1030</v>
      </c>
      <c r="C77" s="180"/>
      <c r="D77" s="171"/>
      <c r="E77" s="118"/>
      <c r="F77" s="118"/>
      <c r="G77" s="9"/>
    </row>
    <row r="78" spans="1:8" x14ac:dyDescent="0.25">
      <c r="A78" s="7"/>
      <c r="B78" s="79" t="s">
        <v>32</v>
      </c>
      <c r="C78" s="79" t="s">
        <v>309</v>
      </c>
      <c r="D78" s="352" t="s">
        <v>1123</v>
      </c>
      <c r="E78" s="353">
        <f t="shared" si="0"/>
        <v>9571</v>
      </c>
      <c r="F78" s="353" t="s">
        <v>615</v>
      </c>
      <c r="G78" s="354">
        <f>SUM(G80:G81)</f>
        <v>9571</v>
      </c>
      <c r="H78" s="91"/>
    </row>
    <row r="79" spans="1:8" x14ac:dyDescent="0.25">
      <c r="A79" s="153">
        <f>1+A75</f>
        <v>204</v>
      </c>
      <c r="B79" s="125" t="s">
        <v>32</v>
      </c>
      <c r="C79" s="125" t="s">
        <v>309</v>
      </c>
      <c r="D79" s="117">
        <f>D75+1</f>
        <v>66</v>
      </c>
      <c r="E79" s="206">
        <f>G79</f>
        <v>9571</v>
      </c>
      <c r="F79" s="207" t="s">
        <v>615</v>
      </c>
      <c r="G79" s="208">
        <f>G78</f>
        <v>9571</v>
      </c>
      <c r="H79" s="91"/>
    </row>
    <row r="80" spans="1:8" x14ac:dyDescent="0.25">
      <c r="A80" s="153">
        <f>1+A79</f>
        <v>205</v>
      </c>
      <c r="B80" s="119" t="s">
        <v>33</v>
      </c>
      <c r="C80" s="119" t="s">
        <v>310</v>
      </c>
      <c r="D80" s="117">
        <f>D79+1</f>
        <v>67</v>
      </c>
      <c r="E80" s="118">
        <f t="shared" ref="E80:E192" si="8">G80</f>
        <v>4601</v>
      </c>
      <c r="F80" s="118" t="s">
        <v>615</v>
      </c>
      <c r="G80" s="12">
        <v>4601</v>
      </c>
      <c r="H80" s="89"/>
    </row>
    <row r="81" spans="1:8" x14ac:dyDescent="0.25">
      <c r="A81" s="153">
        <f t="shared" ref="A81:A83" si="9">1+A80</f>
        <v>206</v>
      </c>
      <c r="B81" s="119" t="s">
        <v>34</v>
      </c>
      <c r="C81" s="119" t="s">
        <v>311</v>
      </c>
      <c r="D81" s="117">
        <f t="shared" ref="D81:D83" si="10">D80+1</f>
        <v>68</v>
      </c>
      <c r="E81" s="118">
        <f t="shared" si="8"/>
        <v>4970</v>
      </c>
      <c r="F81" s="118" t="s">
        <v>615</v>
      </c>
      <c r="G81" s="12">
        <v>4970</v>
      </c>
      <c r="H81" s="89"/>
    </row>
    <row r="82" spans="1:8" x14ac:dyDescent="0.25">
      <c r="A82" s="153">
        <f t="shared" si="9"/>
        <v>207</v>
      </c>
      <c r="B82" s="119" t="s">
        <v>1602</v>
      </c>
      <c r="C82" s="119" t="s">
        <v>312</v>
      </c>
      <c r="D82" s="117">
        <f t="shared" si="10"/>
        <v>69</v>
      </c>
      <c r="E82" s="118">
        <f t="shared" si="8"/>
        <v>7</v>
      </c>
      <c r="F82" s="118" t="s">
        <v>615</v>
      </c>
      <c r="G82" s="12">
        <v>7</v>
      </c>
      <c r="H82" s="89"/>
    </row>
    <row r="83" spans="1:8" x14ac:dyDescent="0.25">
      <c r="A83" s="153">
        <f t="shared" si="9"/>
        <v>208</v>
      </c>
      <c r="B83" s="119" t="s">
        <v>1603</v>
      </c>
      <c r="C83" s="119" t="s">
        <v>313</v>
      </c>
      <c r="D83" s="117">
        <f t="shared" si="10"/>
        <v>70</v>
      </c>
      <c r="E83" s="118">
        <f t="shared" si="8"/>
        <v>11</v>
      </c>
      <c r="F83" s="118" t="s">
        <v>615</v>
      </c>
      <c r="G83" s="12">
        <v>11</v>
      </c>
      <c r="H83" s="89"/>
    </row>
    <row r="84" spans="1:8" x14ac:dyDescent="0.25">
      <c r="A84" s="153"/>
      <c r="B84" s="181" t="s">
        <v>614</v>
      </c>
      <c r="C84" s="119"/>
      <c r="D84" s="339"/>
      <c r="E84" s="118"/>
      <c r="F84" s="118"/>
      <c r="G84" s="9"/>
    </row>
    <row r="85" spans="1:8" x14ac:dyDescent="0.25">
      <c r="A85" s="153">
        <f>1+A83</f>
        <v>209</v>
      </c>
      <c r="B85" s="119" t="s">
        <v>35</v>
      </c>
      <c r="C85" s="119" t="s">
        <v>314</v>
      </c>
      <c r="D85" s="117">
        <f>D83+1</f>
        <v>71</v>
      </c>
      <c r="E85" s="118">
        <f t="shared" si="8"/>
        <v>2891</v>
      </c>
      <c r="F85" s="118" t="s">
        <v>618</v>
      </c>
      <c r="G85" s="12">
        <v>2891</v>
      </c>
      <c r="H85" s="89"/>
    </row>
    <row r="86" spans="1:8" x14ac:dyDescent="0.25">
      <c r="A86" s="153">
        <f>1+A85</f>
        <v>210</v>
      </c>
      <c r="B86" s="119" t="s">
        <v>36</v>
      </c>
      <c r="C86" s="119" t="s">
        <v>315</v>
      </c>
      <c r="D86" s="117">
        <f>D85+1</f>
        <v>72</v>
      </c>
      <c r="E86" s="118">
        <f t="shared" si="8"/>
        <v>342</v>
      </c>
      <c r="F86" s="118" t="s">
        <v>618</v>
      </c>
      <c r="G86" s="12">
        <v>342</v>
      </c>
      <c r="H86" s="89"/>
    </row>
    <row r="87" spans="1:8" x14ac:dyDescent="0.25">
      <c r="A87" s="153">
        <f>1+A86</f>
        <v>211</v>
      </c>
      <c r="B87" s="119" t="s">
        <v>37</v>
      </c>
      <c r="C87" s="119" t="s">
        <v>316</v>
      </c>
      <c r="D87" s="117">
        <f>D86+1</f>
        <v>73</v>
      </c>
      <c r="E87" s="118">
        <f t="shared" si="8"/>
        <v>619</v>
      </c>
      <c r="F87" s="118" t="s">
        <v>618</v>
      </c>
      <c r="G87" s="12">
        <v>619</v>
      </c>
      <c r="H87" s="89"/>
    </row>
    <row r="88" spans="1:8" x14ac:dyDescent="0.25">
      <c r="A88" s="153"/>
      <c r="B88" s="176" t="s">
        <v>616</v>
      </c>
      <c r="C88" s="177"/>
      <c r="D88" s="339"/>
      <c r="E88" s="118"/>
      <c r="F88" s="118"/>
      <c r="G88" s="9"/>
    </row>
    <row r="89" spans="1:8" x14ac:dyDescent="0.25">
      <c r="A89" s="387">
        <f>1+A87</f>
        <v>212</v>
      </c>
      <c r="B89" s="119" t="s">
        <v>38</v>
      </c>
      <c r="C89" s="119" t="s">
        <v>317</v>
      </c>
      <c r="D89" s="117">
        <f>D87+1</f>
        <v>74</v>
      </c>
      <c r="E89" s="118">
        <f t="shared" si="8"/>
        <v>705</v>
      </c>
      <c r="F89" s="118" t="s">
        <v>615</v>
      </c>
      <c r="G89" s="9">
        <v>705</v>
      </c>
      <c r="H89" s="89"/>
    </row>
    <row r="90" spans="1:8" x14ac:dyDescent="0.25">
      <c r="A90" s="388"/>
      <c r="B90" s="119" t="s">
        <v>39</v>
      </c>
      <c r="C90" s="119" t="s">
        <v>318</v>
      </c>
      <c r="D90" s="117">
        <f>D89+1</f>
        <v>75</v>
      </c>
      <c r="E90" s="118">
        <f t="shared" si="8"/>
        <v>1115</v>
      </c>
      <c r="F90" s="118" t="s">
        <v>615</v>
      </c>
      <c r="G90" s="9">
        <v>1115</v>
      </c>
      <c r="H90" s="89"/>
    </row>
    <row r="91" spans="1:8" x14ac:dyDescent="0.25">
      <c r="A91" s="388"/>
      <c r="B91" s="119" t="s">
        <v>40</v>
      </c>
      <c r="C91" s="119" t="s">
        <v>319</v>
      </c>
      <c r="D91" s="117">
        <f t="shared" ref="D91:D94" si="11">D90+1</f>
        <v>76</v>
      </c>
      <c r="E91" s="118">
        <f t="shared" si="8"/>
        <v>1706</v>
      </c>
      <c r="F91" s="118" t="s">
        <v>615</v>
      </c>
      <c r="G91" s="9">
        <v>1706</v>
      </c>
      <c r="H91" s="89"/>
    </row>
    <row r="92" spans="1:8" x14ac:dyDescent="0.25">
      <c r="A92" s="388"/>
      <c r="B92" s="119" t="s">
        <v>41</v>
      </c>
      <c r="C92" s="119" t="s">
        <v>320</v>
      </c>
      <c r="D92" s="117">
        <f t="shared" si="11"/>
        <v>77</v>
      </c>
      <c r="E92" s="118">
        <f t="shared" si="8"/>
        <v>3069</v>
      </c>
      <c r="F92" s="118" t="s">
        <v>615</v>
      </c>
      <c r="G92" s="9">
        <v>3069</v>
      </c>
      <c r="H92" s="89"/>
    </row>
    <row r="93" spans="1:8" x14ac:dyDescent="0.25">
      <c r="A93" s="388"/>
      <c r="B93" s="119" t="s">
        <v>42</v>
      </c>
      <c r="C93" s="119" t="s">
        <v>321</v>
      </c>
      <c r="D93" s="117">
        <f t="shared" si="11"/>
        <v>78</v>
      </c>
      <c r="E93" s="118">
        <f t="shared" si="8"/>
        <v>1762</v>
      </c>
      <c r="F93" s="118" t="s">
        <v>615</v>
      </c>
      <c r="G93" s="9">
        <v>1762</v>
      </c>
      <c r="H93" s="89"/>
    </row>
    <row r="94" spans="1:8" x14ac:dyDescent="0.25">
      <c r="A94" s="389"/>
      <c r="B94" s="119" t="s">
        <v>43</v>
      </c>
      <c r="C94" s="119" t="s">
        <v>322</v>
      </c>
      <c r="D94" s="117">
        <f t="shared" si="11"/>
        <v>79</v>
      </c>
      <c r="E94" s="118">
        <f t="shared" si="8"/>
        <v>1214</v>
      </c>
      <c r="F94" s="118" t="s">
        <v>615</v>
      </c>
      <c r="G94" s="9">
        <v>1214</v>
      </c>
      <c r="H94" s="89"/>
    </row>
    <row r="95" spans="1:8" x14ac:dyDescent="0.25">
      <c r="A95" s="153"/>
      <c r="B95" s="176" t="s">
        <v>617</v>
      </c>
      <c r="C95" s="177"/>
      <c r="D95" s="339"/>
      <c r="E95" s="118"/>
      <c r="F95" s="118"/>
      <c r="G95" s="9"/>
    </row>
    <row r="96" spans="1:8" x14ac:dyDescent="0.25">
      <c r="A96" s="387">
        <f>1+A89</f>
        <v>213</v>
      </c>
      <c r="B96" s="121" t="s">
        <v>44</v>
      </c>
      <c r="C96" s="119" t="s">
        <v>323</v>
      </c>
      <c r="D96" s="117">
        <f>D94+1</f>
        <v>80</v>
      </c>
      <c r="E96" s="118">
        <f t="shared" si="8"/>
        <v>23</v>
      </c>
      <c r="F96" s="118" t="s">
        <v>615</v>
      </c>
      <c r="G96" s="9">
        <v>23</v>
      </c>
      <c r="H96" s="89"/>
    </row>
    <row r="97" spans="1:8" x14ac:dyDescent="0.25">
      <c r="A97" s="388"/>
      <c r="B97" s="122"/>
      <c r="C97" s="119" t="s">
        <v>324</v>
      </c>
      <c r="D97" s="117">
        <f>D96+1</f>
        <v>81</v>
      </c>
      <c r="E97" s="118">
        <f t="shared" si="8"/>
        <v>56</v>
      </c>
      <c r="F97" s="118" t="s">
        <v>615</v>
      </c>
      <c r="G97" s="9">
        <v>56</v>
      </c>
      <c r="H97" s="89"/>
    </row>
    <row r="98" spans="1:8" x14ac:dyDescent="0.25">
      <c r="A98" s="388"/>
      <c r="B98" s="121" t="s">
        <v>45</v>
      </c>
      <c r="C98" s="119" t="s">
        <v>325</v>
      </c>
      <c r="D98" s="117">
        <f t="shared" ref="D98:D121" si="12">D97+1</f>
        <v>82</v>
      </c>
      <c r="E98" s="118">
        <f t="shared" si="8"/>
        <v>114</v>
      </c>
      <c r="F98" s="118" t="s">
        <v>615</v>
      </c>
      <c r="G98" s="9">
        <v>114</v>
      </c>
      <c r="H98" s="89"/>
    </row>
    <row r="99" spans="1:8" x14ac:dyDescent="0.25">
      <c r="A99" s="388"/>
      <c r="B99" s="122"/>
      <c r="C99" s="119" t="s">
        <v>326</v>
      </c>
      <c r="D99" s="117">
        <f t="shared" si="12"/>
        <v>83</v>
      </c>
      <c r="E99" s="118">
        <f t="shared" si="8"/>
        <v>345</v>
      </c>
      <c r="F99" s="118" t="s">
        <v>615</v>
      </c>
      <c r="G99" s="9">
        <v>345</v>
      </c>
      <c r="H99" s="89"/>
    </row>
    <row r="100" spans="1:8" x14ac:dyDescent="0.25">
      <c r="A100" s="388"/>
      <c r="B100" s="121" t="s">
        <v>1174</v>
      </c>
      <c r="C100" s="119" t="s">
        <v>327</v>
      </c>
      <c r="D100" s="117">
        <f t="shared" si="12"/>
        <v>84</v>
      </c>
      <c r="E100" s="118">
        <f t="shared" si="8"/>
        <v>67</v>
      </c>
      <c r="F100" s="118" t="s">
        <v>615</v>
      </c>
      <c r="G100" s="9">
        <v>67</v>
      </c>
      <c r="H100" s="89"/>
    </row>
    <row r="101" spans="1:8" x14ac:dyDescent="0.25">
      <c r="A101" s="388"/>
      <c r="B101" s="122"/>
      <c r="C101" s="119" t="s">
        <v>328</v>
      </c>
      <c r="D101" s="117">
        <f t="shared" si="12"/>
        <v>85</v>
      </c>
      <c r="E101" s="118">
        <f t="shared" si="8"/>
        <v>96</v>
      </c>
      <c r="F101" s="118" t="s">
        <v>615</v>
      </c>
      <c r="G101" s="9">
        <v>96</v>
      </c>
      <c r="H101" s="89"/>
    </row>
    <row r="102" spans="1:8" x14ac:dyDescent="0.25">
      <c r="A102" s="388"/>
      <c r="B102" s="121" t="s">
        <v>1175</v>
      </c>
      <c r="C102" s="119" t="s">
        <v>329</v>
      </c>
      <c r="D102" s="117">
        <f t="shared" si="12"/>
        <v>86</v>
      </c>
      <c r="E102" s="118">
        <f t="shared" si="8"/>
        <v>43</v>
      </c>
      <c r="F102" s="118" t="s">
        <v>615</v>
      </c>
      <c r="G102" s="9">
        <v>43</v>
      </c>
      <c r="H102" s="89"/>
    </row>
    <row r="103" spans="1:8" x14ac:dyDescent="0.25">
      <c r="A103" s="388"/>
      <c r="B103" s="122"/>
      <c r="C103" s="119" t="s">
        <v>330</v>
      </c>
      <c r="D103" s="117">
        <f t="shared" si="12"/>
        <v>87</v>
      </c>
      <c r="E103" s="118">
        <f t="shared" si="8"/>
        <v>75</v>
      </c>
      <c r="F103" s="118" t="s">
        <v>615</v>
      </c>
      <c r="G103" s="9">
        <v>75</v>
      </c>
      <c r="H103" s="89"/>
    </row>
    <row r="104" spans="1:8" x14ac:dyDescent="0.25">
      <c r="A104" s="388"/>
      <c r="B104" s="121" t="s">
        <v>46</v>
      </c>
      <c r="C104" s="119" t="s">
        <v>331</v>
      </c>
      <c r="D104" s="117">
        <f t="shared" si="12"/>
        <v>88</v>
      </c>
      <c r="E104" s="118">
        <f t="shared" si="8"/>
        <v>2</v>
      </c>
      <c r="F104" s="118" t="s">
        <v>615</v>
      </c>
      <c r="G104" s="9">
        <v>2</v>
      </c>
      <c r="H104" s="89"/>
    </row>
    <row r="105" spans="1:8" x14ac:dyDescent="0.25">
      <c r="A105" s="388"/>
      <c r="B105" s="122"/>
      <c r="C105" s="119" t="s">
        <v>332</v>
      </c>
      <c r="D105" s="117">
        <f t="shared" si="12"/>
        <v>89</v>
      </c>
      <c r="E105" s="118">
        <f t="shared" si="8"/>
        <v>32</v>
      </c>
      <c r="F105" s="118" t="s">
        <v>615</v>
      </c>
      <c r="G105" s="9">
        <v>32</v>
      </c>
      <c r="H105" s="89"/>
    </row>
    <row r="106" spans="1:8" x14ac:dyDescent="0.25">
      <c r="A106" s="388"/>
      <c r="B106" s="121" t="s">
        <v>1176</v>
      </c>
      <c r="C106" s="119" t="s">
        <v>333</v>
      </c>
      <c r="D106" s="117">
        <f t="shared" si="12"/>
        <v>90</v>
      </c>
      <c r="E106" s="118">
        <f t="shared" si="8"/>
        <v>5</v>
      </c>
      <c r="F106" s="118" t="s">
        <v>615</v>
      </c>
      <c r="G106" s="9">
        <v>5</v>
      </c>
      <c r="H106" s="89"/>
    </row>
    <row r="107" spans="1:8" x14ac:dyDescent="0.25">
      <c r="A107" s="388"/>
      <c r="B107" s="122"/>
      <c r="C107" s="119" t="s">
        <v>334</v>
      </c>
      <c r="D107" s="117">
        <f t="shared" si="12"/>
        <v>91</v>
      </c>
      <c r="E107" s="118">
        <f t="shared" si="8"/>
        <v>78</v>
      </c>
      <c r="F107" s="118" t="s">
        <v>615</v>
      </c>
      <c r="G107" s="9">
        <v>78</v>
      </c>
      <c r="H107" s="89"/>
    </row>
    <row r="108" spans="1:8" x14ac:dyDescent="0.25">
      <c r="A108" s="388"/>
      <c r="B108" s="121" t="s">
        <v>47</v>
      </c>
      <c r="C108" s="119" t="s">
        <v>335</v>
      </c>
      <c r="D108" s="117">
        <f t="shared" si="12"/>
        <v>92</v>
      </c>
      <c r="E108" s="118">
        <f t="shared" si="8"/>
        <v>34</v>
      </c>
      <c r="F108" s="118" t="s">
        <v>615</v>
      </c>
      <c r="G108" s="9">
        <v>34</v>
      </c>
      <c r="H108" s="89"/>
    </row>
    <row r="109" spans="1:8" x14ac:dyDescent="0.25">
      <c r="A109" s="388"/>
      <c r="B109" s="122"/>
      <c r="C109" s="119" t="s">
        <v>336</v>
      </c>
      <c r="D109" s="117">
        <f t="shared" si="12"/>
        <v>93</v>
      </c>
      <c r="E109" s="118">
        <f t="shared" si="8"/>
        <v>87</v>
      </c>
      <c r="F109" s="118" t="s">
        <v>615</v>
      </c>
      <c r="G109" s="9">
        <v>87</v>
      </c>
      <c r="H109" s="89"/>
    </row>
    <row r="110" spans="1:8" x14ac:dyDescent="0.25">
      <c r="A110" s="388"/>
      <c r="B110" s="121" t="s">
        <v>814</v>
      </c>
      <c r="C110" s="119" t="s">
        <v>816</v>
      </c>
      <c r="D110" s="117">
        <f t="shared" si="12"/>
        <v>94</v>
      </c>
      <c r="E110" s="118">
        <f t="shared" si="8"/>
        <v>3</v>
      </c>
      <c r="F110" s="118" t="s">
        <v>615</v>
      </c>
      <c r="G110" s="9">
        <v>3</v>
      </c>
      <c r="H110" s="89"/>
    </row>
    <row r="111" spans="1:8" x14ac:dyDescent="0.25">
      <c r="A111" s="388"/>
      <c r="B111" s="122"/>
      <c r="C111" s="119" t="s">
        <v>817</v>
      </c>
      <c r="D111" s="117">
        <f t="shared" si="12"/>
        <v>95</v>
      </c>
      <c r="E111" s="118">
        <f t="shared" si="8"/>
        <v>78</v>
      </c>
      <c r="F111" s="118" t="s">
        <v>615</v>
      </c>
      <c r="G111" s="9">
        <v>78</v>
      </c>
      <c r="H111" s="89"/>
    </row>
    <row r="112" spans="1:8" x14ac:dyDescent="0.25">
      <c r="A112" s="388"/>
      <c r="B112" s="121" t="s">
        <v>815</v>
      </c>
      <c r="C112" s="119" t="s">
        <v>818</v>
      </c>
      <c r="D112" s="117">
        <f t="shared" si="12"/>
        <v>96</v>
      </c>
      <c r="E112" s="118">
        <f t="shared" si="8"/>
        <v>43</v>
      </c>
      <c r="F112" s="118" t="s">
        <v>615</v>
      </c>
      <c r="G112" s="9">
        <v>43</v>
      </c>
      <c r="H112" s="89"/>
    </row>
    <row r="113" spans="1:9" x14ac:dyDescent="0.25">
      <c r="A113" s="388"/>
      <c r="B113" s="122"/>
      <c r="C113" s="119" t="s">
        <v>819</v>
      </c>
      <c r="D113" s="117">
        <f t="shared" si="12"/>
        <v>97</v>
      </c>
      <c r="E113" s="118">
        <f t="shared" si="8"/>
        <v>54</v>
      </c>
      <c r="F113" s="118" t="s">
        <v>615</v>
      </c>
      <c r="G113" s="9">
        <v>54</v>
      </c>
      <c r="H113" s="89"/>
    </row>
    <row r="114" spans="1:9" x14ac:dyDescent="0.25">
      <c r="A114" s="388"/>
      <c r="B114" s="121" t="s">
        <v>1178</v>
      </c>
      <c r="C114" s="119" t="s">
        <v>820</v>
      </c>
      <c r="D114" s="117">
        <f t="shared" si="12"/>
        <v>98</v>
      </c>
      <c r="E114" s="118">
        <f t="shared" si="8"/>
        <v>23</v>
      </c>
      <c r="F114" s="118" t="s">
        <v>615</v>
      </c>
      <c r="G114" s="9">
        <v>23</v>
      </c>
      <c r="H114" s="89"/>
    </row>
    <row r="115" spans="1:9" x14ac:dyDescent="0.25">
      <c r="A115" s="388"/>
      <c r="B115" s="122"/>
      <c r="C115" s="119" t="s">
        <v>821</v>
      </c>
      <c r="D115" s="117">
        <f t="shared" si="12"/>
        <v>99</v>
      </c>
      <c r="E115" s="118">
        <f t="shared" si="8"/>
        <v>56</v>
      </c>
      <c r="F115" s="118" t="s">
        <v>615</v>
      </c>
      <c r="G115" s="9">
        <v>56</v>
      </c>
      <c r="H115" s="89"/>
    </row>
    <row r="116" spans="1:9" x14ac:dyDescent="0.25">
      <c r="A116" s="388"/>
      <c r="B116" s="121" t="s">
        <v>1179</v>
      </c>
      <c r="C116" s="119" t="s">
        <v>825</v>
      </c>
      <c r="D116" s="117">
        <f t="shared" si="12"/>
        <v>100</v>
      </c>
      <c r="E116" s="118">
        <f t="shared" si="8"/>
        <v>23</v>
      </c>
      <c r="F116" s="118" t="s">
        <v>615</v>
      </c>
      <c r="G116" s="9">
        <v>23</v>
      </c>
      <c r="H116" s="89"/>
    </row>
    <row r="117" spans="1:9" x14ac:dyDescent="0.25">
      <c r="A117" s="388"/>
      <c r="B117" s="121" t="s">
        <v>1180</v>
      </c>
      <c r="C117" s="119" t="s">
        <v>822</v>
      </c>
      <c r="D117" s="117">
        <f t="shared" si="12"/>
        <v>101</v>
      </c>
      <c r="E117" s="118">
        <f t="shared" si="8"/>
        <v>26</v>
      </c>
      <c r="F117" s="118" t="s">
        <v>615</v>
      </c>
      <c r="G117" s="9">
        <v>26</v>
      </c>
      <c r="H117" s="89"/>
    </row>
    <row r="118" spans="1:9" x14ac:dyDescent="0.25">
      <c r="A118" s="388"/>
      <c r="B118" s="122"/>
      <c r="C118" s="119" t="s">
        <v>823</v>
      </c>
      <c r="D118" s="117">
        <f t="shared" si="12"/>
        <v>102</v>
      </c>
      <c r="E118" s="118">
        <f t="shared" si="8"/>
        <v>68</v>
      </c>
      <c r="F118" s="118" t="s">
        <v>615</v>
      </c>
      <c r="G118" s="9">
        <v>68</v>
      </c>
      <c r="H118" s="89"/>
    </row>
    <row r="119" spans="1:9" x14ac:dyDescent="0.25">
      <c r="A119" s="388"/>
      <c r="B119" s="392" t="s">
        <v>824</v>
      </c>
      <c r="C119" s="119" t="s">
        <v>338</v>
      </c>
      <c r="D119" s="117">
        <f t="shared" si="12"/>
        <v>103</v>
      </c>
      <c r="E119" s="118">
        <f t="shared" ref="E119:E120" si="13">G119</f>
        <v>27</v>
      </c>
      <c r="F119" s="118" t="s">
        <v>615</v>
      </c>
      <c r="G119" s="9">
        <v>27</v>
      </c>
      <c r="H119" s="89"/>
    </row>
    <row r="120" spans="1:9" x14ac:dyDescent="0.25">
      <c r="A120" s="388"/>
      <c r="B120" s="393"/>
      <c r="C120" s="119" t="s">
        <v>339</v>
      </c>
      <c r="D120" s="117">
        <f t="shared" si="12"/>
        <v>104</v>
      </c>
      <c r="E120" s="118">
        <f t="shared" si="13"/>
        <v>5</v>
      </c>
      <c r="F120" s="118" t="s">
        <v>615</v>
      </c>
      <c r="G120" s="9">
        <v>5</v>
      </c>
      <c r="H120" s="89"/>
    </row>
    <row r="121" spans="1:9" x14ac:dyDescent="0.25">
      <c r="A121" s="388"/>
      <c r="B121" s="393"/>
      <c r="C121" s="125" t="s">
        <v>337</v>
      </c>
      <c r="D121" s="117">
        <f t="shared" si="12"/>
        <v>105</v>
      </c>
      <c r="E121" s="207">
        <f t="shared" si="8"/>
        <v>32</v>
      </c>
      <c r="F121" s="207" t="s">
        <v>615</v>
      </c>
      <c r="G121" s="209">
        <f>G122</f>
        <v>32</v>
      </c>
      <c r="H121" s="89"/>
      <c r="I121" s="229" t="s">
        <v>1697</v>
      </c>
    </row>
    <row r="122" spans="1:9" x14ac:dyDescent="0.25">
      <c r="A122" s="388"/>
      <c r="B122" s="394"/>
      <c r="C122" s="125" t="s">
        <v>337</v>
      </c>
      <c r="D122" s="117" t="s">
        <v>1123</v>
      </c>
      <c r="E122" s="118">
        <f t="shared" si="8"/>
        <v>32</v>
      </c>
      <c r="F122" s="118"/>
      <c r="G122" s="9">
        <f>SUM(G119:G120)</f>
        <v>32</v>
      </c>
      <c r="H122" s="89"/>
      <c r="I122" s="229" t="s">
        <v>1697</v>
      </c>
    </row>
    <row r="123" spans="1:9" s="344" customFormat="1" x14ac:dyDescent="0.25">
      <c r="A123" s="387">
        <f>1+A96</f>
        <v>214</v>
      </c>
      <c r="B123" s="121" t="s">
        <v>1177</v>
      </c>
      <c r="C123" s="119" t="s">
        <v>340</v>
      </c>
      <c r="D123" s="117">
        <f>D121+1</f>
        <v>106</v>
      </c>
      <c r="E123" s="118">
        <f t="shared" si="8"/>
        <v>345</v>
      </c>
      <c r="F123" s="118" t="s">
        <v>615</v>
      </c>
      <c r="G123" s="9">
        <v>345</v>
      </c>
      <c r="H123" s="89"/>
      <c r="I123" s="373"/>
    </row>
    <row r="124" spans="1:9" s="344" customFormat="1" x14ac:dyDescent="0.25">
      <c r="A124" s="389"/>
      <c r="B124" s="122"/>
      <c r="C124" s="119" t="s">
        <v>341</v>
      </c>
      <c r="D124" s="117">
        <f>D123+1</f>
        <v>107</v>
      </c>
      <c r="E124" s="118">
        <f t="shared" si="8"/>
        <v>23</v>
      </c>
      <c r="F124" s="118" t="s">
        <v>615</v>
      </c>
      <c r="G124" s="9">
        <v>23</v>
      </c>
      <c r="H124" s="89"/>
      <c r="I124" s="373"/>
    </row>
    <row r="125" spans="1:9" x14ac:dyDescent="0.25">
      <c r="A125" s="416" t="s">
        <v>619</v>
      </c>
      <c r="B125" s="416"/>
      <c r="C125" s="416"/>
      <c r="D125" s="339"/>
      <c r="E125" s="118"/>
      <c r="F125" s="118"/>
      <c r="G125" s="9"/>
    </row>
    <row r="126" spans="1:9" x14ac:dyDescent="0.25">
      <c r="A126" s="182"/>
      <c r="B126" s="183" t="s">
        <v>620</v>
      </c>
      <c r="C126" s="333"/>
      <c r="D126" s="184"/>
      <c r="E126" s="118"/>
      <c r="F126" s="152"/>
      <c r="G126" s="9"/>
    </row>
    <row r="127" spans="1:9" x14ac:dyDescent="0.25">
      <c r="A127" s="182"/>
      <c r="B127" s="183" t="s">
        <v>621</v>
      </c>
      <c r="C127" s="185"/>
      <c r="D127" s="339"/>
      <c r="E127" s="118"/>
      <c r="F127" s="152"/>
      <c r="G127" s="9"/>
    </row>
    <row r="128" spans="1:9" x14ac:dyDescent="0.25">
      <c r="A128" s="379">
        <v>301</v>
      </c>
      <c r="B128" s="123" t="s">
        <v>48</v>
      </c>
      <c r="C128" s="123" t="s">
        <v>342</v>
      </c>
      <c r="D128" s="117">
        <f>D124+1</f>
        <v>108</v>
      </c>
      <c r="E128" s="118">
        <f t="shared" si="8"/>
        <v>6</v>
      </c>
      <c r="F128" s="118"/>
      <c r="G128" s="9">
        <v>6</v>
      </c>
      <c r="H128" s="89"/>
    </row>
    <row r="129" spans="1:9" x14ac:dyDescent="0.25">
      <c r="A129" s="380"/>
      <c r="B129" s="123" t="s">
        <v>49</v>
      </c>
      <c r="C129" s="123" t="s">
        <v>343</v>
      </c>
      <c r="D129" s="117">
        <f>D128+1</f>
        <v>109</v>
      </c>
      <c r="E129" s="126">
        <f t="shared" si="8"/>
        <v>100</v>
      </c>
      <c r="F129" s="118" t="s">
        <v>623</v>
      </c>
      <c r="G129" s="325">
        <v>100</v>
      </c>
      <c r="H129" s="89"/>
    </row>
    <row r="130" spans="1:9" s="344" customFormat="1" x14ac:dyDescent="0.25">
      <c r="A130" s="385"/>
      <c r="B130" s="123" t="s">
        <v>50</v>
      </c>
      <c r="C130" s="123" t="s">
        <v>344</v>
      </c>
      <c r="D130" s="117">
        <f>D129+1</f>
        <v>110</v>
      </c>
      <c r="E130" s="124">
        <f>G130</f>
        <v>5</v>
      </c>
      <c r="F130" s="118" t="s">
        <v>622</v>
      </c>
      <c r="G130" s="12">
        <v>5</v>
      </c>
      <c r="H130" s="89"/>
      <c r="I130" s="373"/>
    </row>
    <row r="131" spans="1:9" x14ac:dyDescent="0.25">
      <c r="A131" s="329"/>
      <c r="B131" s="186" t="s">
        <v>1052</v>
      </c>
      <c r="C131" s="187"/>
      <c r="D131" s="129"/>
      <c r="E131" s="118"/>
      <c r="F131" s="118"/>
      <c r="G131" s="9"/>
      <c r="H131" s="89"/>
    </row>
    <row r="132" spans="1:9" x14ac:dyDescent="0.25">
      <c r="A132" s="379">
        <f>A128+1</f>
        <v>302</v>
      </c>
      <c r="B132" s="123" t="s">
        <v>1102</v>
      </c>
      <c r="C132" s="123" t="s">
        <v>1063</v>
      </c>
      <c r="D132" s="117">
        <f>D130+1</f>
        <v>111</v>
      </c>
      <c r="E132" s="118">
        <f t="shared" ref="E132:E134" si="14">G132</f>
        <v>0</v>
      </c>
      <c r="F132" s="118"/>
      <c r="G132" s="9">
        <v>0</v>
      </c>
      <c r="H132" s="89"/>
    </row>
    <row r="133" spans="1:9" x14ac:dyDescent="0.25">
      <c r="A133" s="380"/>
      <c r="B133" s="123" t="s">
        <v>1040</v>
      </c>
      <c r="C133" s="123" t="s">
        <v>1058</v>
      </c>
      <c r="D133" s="117">
        <f>D132+1</f>
        <v>112</v>
      </c>
      <c r="E133" s="126">
        <f t="shared" si="14"/>
        <v>30</v>
      </c>
      <c r="F133" s="118" t="s">
        <v>623</v>
      </c>
      <c r="G133" s="325">
        <v>30</v>
      </c>
      <c r="H133" s="89"/>
    </row>
    <row r="134" spans="1:9" x14ac:dyDescent="0.25">
      <c r="A134" s="381"/>
      <c r="B134" s="123" t="s">
        <v>1041</v>
      </c>
      <c r="C134" s="123" t="s">
        <v>1059</v>
      </c>
      <c r="D134" s="117">
        <f>D133+1</f>
        <v>113</v>
      </c>
      <c r="E134" s="118">
        <f t="shared" si="14"/>
        <v>60</v>
      </c>
      <c r="F134" s="118" t="s">
        <v>622</v>
      </c>
      <c r="G134" s="12">
        <v>60</v>
      </c>
      <c r="H134" s="89"/>
    </row>
    <row r="135" spans="1:9" x14ac:dyDescent="0.25">
      <c r="A135" s="330"/>
      <c r="B135" s="186" t="s">
        <v>1053</v>
      </c>
      <c r="C135" s="187"/>
      <c r="D135" s="129"/>
      <c r="E135" s="118"/>
      <c r="F135" s="118"/>
      <c r="G135" s="9"/>
      <c r="H135" s="89"/>
    </row>
    <row r="136" spans="1:9" x14ac:dyDescent="0.25">
      <c r="A136" s="379">
        <f>A132+1</f>
        <v>303</v>
      </c>
      <c r="B136" s="123" t="s">
        <v>1101</v>
      </c>
      <c r="C136" s="123" t="s">
        <v>1060</v>
      </c>
      <c r="D136" s="117">
        <f>D134+1</f>
        <v>114</v>
      </c>
      <c r="E136" s="118">
        <f t="shared" ref="E136:E138" si="15">G136</f>
        <v>0</v>
      </c>
      <c r="F136" s="118"/>
      <c r="G136" s="9">
        <v>0</v>
      </c>
      <c r="H136" s="89"/>
    </row>
    <row r="137" spans="1:9" x14ac:dyDescent="0.25">
      <c r="A137" s="380"/>
      <c r="B137" s="123" t="s">
        <v>1042</v>
      </c>
      <c r="C137" s="123" t="s">
        <v>1061</v>
      </c>
      <c r="D137" s="117">
        <f t="shared" ref="D137" si="16">D136+1</f>
        <v>115</v>
      </c>
      <c r="E137" s="126">
        <f t="shared" si="15"/>
        <v>30</v>
      </c>
      <c r="F137" s="118" t="s">
        <v>623</v>
      </c>
      <c r="G137" s="325">
        <v>30</v>
      </c>
      <c r="H137" s="89"/>
    </row>
    <row r="138" spans="1:9" x14ac:dyDescent="0.25">
      <c r="A138" s="381"/>
      <c r="B138" s="123" t="s">
        <v>1043</v>
      </c>
      <c r="C138" s="123" t="s">
        <v>1062</v>
      </c>
      <c r="D138" s="117">
        <f>D137+1</f>
        <v>116</v>
      </c>
      <c r="E138" s="118">
        <f t="shared" si="15"/>
        <v>60</v>
      </c>
      <c r="F138" s="118" t="s">
        <v>622</v>
      </c>
      <c r="G138" s="12">
        <v>60</v>
      </c>
      <c r="H138" s="89"/>
    </row>
    <row r="139" spans="1:9" x14ac:dyDescent="0.25">
      <c r="A139" s="330"/>
      <c r="B139" s="186" t="s">
        <v>1086</v>
      </c>
      <c r="C139" s="187"/>
      <c r="D139" s="129"/>
      <c r="E139" s="118"/>
      <c r="F139" s="118"/>
      <c r="G139" s="9"/>
      <c r="H139" s="89"/>
    </row>
    <row r="140" spans="1:9" x14ac:dyDescent="0.25">
      <c r="A140" s="379">
        <f>A136+1</f>
        <v>304</v>
      </c>
      <c r="B140" s="123" t="s">
        <v>1103</v>
      </c>
      <c r="C140" s="123" t="s">
        <v>1089</v>
      </c>
      <c r="D140" s="117">
        <f>D138+1</f>
        <v>117</v>
      </c>
      <c r="E140" s="118">
        <f t="shared" ref="E140:E142" si="17">G140</f>
        <v>0</v>
      </c>
      <c r="F140" s="118"/>
      <c r="G140" s="9">
        <v>0</v>
      </c>
      <c r="H140" s="89"/>
    </row>
    <row r="141" spans="1:9" x14ac:dyDescent="0.25">
      <c r="A141" s="380"/>
      <c r="B141" s="123" t="s">
        <v>1078</v>
      </c>
      <c r="C141" s="123" t="s">
        <v>1090</v>
      </c>
      <c r="D141" s="117">
        <f>D140+1</f>
        <v>118</v>
      </c>
      <c r="E141" s="126">
        <f t="shared" si="17"/>
        <v>7</v>
      </c>
      <c r="F141" s="118" t="s">
        <v>623</v>
      </c>
      <c r="G141" s="325">
        <v>7</v>
      </c>
      <c r="H141" s="89"/>
    </row>
    <row r="142" spans="1:9" x14ac:dyDescent="0.25">
      <c r="A142" s="381"/>
      <c r="B142" s="123" t="s">
        <v>1079</v>
      </c>
      <c r="C142" s="123" t="s">
        <v>1091</v>
      </c>
      <c r="D142" s="117">
        <f>D141+1</f>
        <v>119</v>
      </c>
      <c r="E142" s="118">
        <f t="shared" si="17"/>
        <v>15</v>
      </c>
      <c r="F142" s="118" t="s">
        <v>622</v>
      </c>
      <c r="G142" s="12">
        <v>15</v>
      </c>
      <c r="H142" s="89"/>
    </row>
    <row r="143" spans="1:9" x14ac:dyDescent="0.25">
      <c r="A143" s="330"/>
      <c r="B143" s="186" t="s">
        <v>1087</v>
      </c>
      <c r="C143" s="187"/>
      <c r="D143" s="129"/>
      <c r="E143" s="118"/>
      <c r="F143" s="118"/>
      <c r="G143" s="9"/>
      <c r="H143" s="89"/>
    </row>
    <row r="144" spans="1:9" x14ac:dyDescent="0.25">
      <c r="A144" s="379">
        <f>A140+1</f>
        <v>305</v>
      </c>
      <c r="B144" s="123" t="s">
        <v>1104</v>
      </c>
      <c r="C144" s="123" t="s">
        <v>1092</v>
      </c>
      <c r="D144" s="117">
        <f>D142+1</f>
        <v>120</v>
      </c>
      <c r="E144" s="118">
        <f t="shared" ref="E144:E146" si="18">G144</f>
        <v>0</v>
      </c>
      <c r="F144" s="118"/>
      <c r="G144" s="9">
        <v>0</v>
      </c>
      <c r="H144" s="89"/>
    </row>
    <row r="145" spans="1:8" x14ac:dyDescent="0.25">
      <c r="A145" s="380"/>
      <c r="B145" s="123" t="s">
        <v>1080</v>
      </c>
      <c r="C145" s="123" t="s">
        <v>1093</v>
      </c>
      <c r="D145" s="117">
        <f>D144+1</f>
        <v>121</v>
      </c>
      <c r="E145" s="126">
        <f t="shared" si="18"/>
        <v>0</v>
      </c>
      <c r="F145" s="118" t="s">
        <v>623</v>
      </c>
      <c r="G145" s="325">
        <v>0</v>
      </c>
      <c r="H145" s="89"/>
    </row>
    <row r="146" spans="1:8" x14ac:dyDescent="0.25">
      <c r="A146" s="381"/>
      <c r="B146" s="123" t="s">
        <v>1081</v>
      </c>
      <c r="C146" s="123" t="s">
        <v>1094</v>
      </c>
      <c r="D146" s="117">
        <f>D145+1</f>
        <v>122</v>
      </c>
      <c r="E146" s="118">
        <f t="shared" si="18"/>
        <v>0</v>
      </c>
      <c r="F146" s="118" t="s">
        <v>622</v>
      </c>
      <c r="G146" s="12">
        <v>0</v>
      </c>
      <c r="H146" s="89"/>
    </row>
    <row r="147" spans="1:8" x14ac:dyDescent="0.25">
      <c r="A147" s="330"/>
      <c r="B147" s="186" t="s">
        <v>1095</v>
      </c>
      <c r="C147" s="187"/>
      <c r="D147" s="129"/>
      <c r="E147" s="118"/>
      <c r="F147" s="118"/>
      <c r="G147" s="9"/>
      <c r="H147" s="89"/>
    </row>
    <row r="148" spans="1:8" x14ac:dyDescent="0.25">
      <c r="A148" s="379">
        <f>A144+1</f>
        <v>306</v>
      </c>
      <c r="B148" s="123" t="s">
        <v>1105</v>
      </c>
      <c r="C148" s="123" t="s">
        <v>1096</v>
      </c>
      <c r="D148" s="117">
        <f>D146+1</f>
        <v>123</v>
      </c>
      <c r="E148" s="118">
        <f t="shared" ref="E148:E150" si="19">G148</f>
        <v>0</v>
      </c>
      <c r="F148" s="118"/>
      <c r="G148" s="9">
        <v>0</v>
      </c>
      <c r="H148" s="89"/>
    </row>
    <row r="149" spans="1:8" x14ac:dyDescent="0.25">
      <c r="A149" s="380"/>
      <c r="B149" s="123" t="s">
        <v>1082</v>
      </c>
      <c r="C149" s="123" t="s">
        <v>1097</v>
      </c>
      <c r="D149" s="117">
        <f>D148+1</f>
        <v>124</v>
      </c>
      <c r="E149" s="126">
        <f t="shared" si="19"/>
        <v>12000</v>
      </c>
      <c r="F149" s="118" t="s">
        <v>623</v>
      </c>
      <c r="G149" s="325">
        <v>12000</v>
      </c>
      <c r="H149" s="89"/>
    </row>
    <row r="150" spans="1:8" x14ac:dyDescent="0.25">
      <c r="A150" s="381"/>
      <c r="B150" s="123" t="s">
        <v>1083</v>
      </c>
      <c r="C150" s="123" t="s">
        <v>1098</v>
      </c>
      <c r="D150" s="117">
        <f>D149+1</f>
        <v>125</v>
      </c>
      <c r="E150" s="118">
        <f t="shared" si="19"/>
        <v>30</v>
      </c>
      <c r="F150" s="118" t="s">
        <v>622</v>
      </c>
      <c r="G150" s="12">
        <v>30</v>
      </c>
      <c r="H150" s="89"/>
    </row>
    <row r="151" spans="1:8" x14ac:dyDescent="0.25">
      <c r="A151" s="330"/>
      <c r="B151" s="186" t="s">
        <v>1088</v>
      </c>
      <c r="C151" s="187"/>
      <c r="D151" s="129"/>
      <c r="E151" s="118"/>
      <c r="F151" s="118"/>
      <c r="G151" s="9"/>
      <c r="H151" s="89"/>
    </row>
    <row r="152" spans="1:8" x14ac:dyDescent="0.25">
      <c r="A152" s="379">
        <f>A148+1</f>
        <v>307</v>
      </c>
      <c r="B152" s="123" t="s">
        <v>1106</v>
      </c>
      <c r="C152" s="123" t="s">
        <v>1725</v>
      </c>
      <c r="D152" s="117">
        <f>D150+1</f>
        <v>126</v>
      </c>
      <c r="E152" s="118">
        <f t="shared" ref="E152:E154" si="20">G152</f>
        <v>0</v>
      </c>
      <c r="F152" s="118"/>
      <c r="G152" s="9">
        <v>0</v>
      </c>
      <c r="H152" s="89"/>
    </row>
    <row r="153" spans="1:8" x14ac:dyDescent="0.25">
      <c r="A153" s="380"/>
      <c r="B153" s="123" t="s">
        <v>1084</v>
      </c>
      <c r="C153" s="123" t="s">
        <v>1726</v>
      </c>
      <c r="D153" s="117">
        <f>D152+1</f>
        <v>127</v>
      </c>
      <c r="E153" s="126">
        <f t="shared" si="20"/>
        <v>30</v>
      </c>
      <c r="F153" s="118" t="s">
        <v>623</v>
      </c>
      <c r="G153" s="325">
        <v>30</v>
      </c>
      <c r="H153" s="89"/>
    </row>
    <row r="154" spans="1:8" x14ac:dyDescent="0.25">
      <c r="A154" s="381"/>
      <c r="B154" s="123" t="s">
        <v>1085</v>
      </c>
      <c r="C154" s="123" t="s">
        <v>1727</v>
      </c>
      <c r="D154" s="117">
        <f>D153+1</f>
        <v>128</v>
      </c>
      <c r="E154" s="118">
        <f t="shared" si="20"/>
        <v>60</v>
      </c>
      <c r="F154" s="118" t="s">
        <v>622</v>
      </c>
      <c r="G154" s="12">
        <v>60</v>
      </c>
      <c r="H154" s="89"/>
    </row>
    <row r="155" spans="1:8" x14ac:dyDescent="0.25">
      <c r="A155" s="330"/>
      <c r="B155" s="186" t="s">
        <v>1054</v>
      </c>
      <c r="C155" s="187"/>
      <c r="D155" s="129"/>
      <c r="E155" s="118"/>
      <c r="F155" s="118"/>
      <c r="G155" s="9"/>
      <c r="H155" s="89"/>
    </row>
    <row r="156" spans="1:8" x14ac:dyDescent="0.25">
      <c r="A156" s="379">
        <f>A152+1</f>
        <v>308</v>
      </c>
      <c r="B156" s="123" t="s">
        <v>1107</v>
      </c>
      <c r="C156" s="123" t="s">
        <v>1064</v>
      </c>
      <c r="D156" s="117">
        <f>D154+1</f>
        <v>129</v>
      </c>
      <c r="E156" s="118">
        <f t="shared" ref="E156:E158" si="21">G156</f>
        <v>0</v>
      </c>
      <c r="F156" s="118"/>
      <c r="G156" s="9">
        <v>0</v>
      </c>
      <c r="H156" s="89"/>
    </row>
    <row r="157" spans="1:8" x14ac:dyDescent="0.25">
      <c r="A157" s="380"/>
      <c r="B157" s="123" t="s">
        <v>1044</v>
      </c>
      <c r="C157" s="123" t="s">
        <v>1065</v>
      </c>
      <c r="D157" s="117">
        <f>D156+1</f>
        <v>130</v>
      </c>
      <c r="E157" s="126">
        <f t="shared" si="21"/>
        <v>0</v>
      </c>
      <c r="F157" s="118" t="s">
        <v>623</v>
      </c>
      <c r="G157" s="325">
        <v>0</v>
      </c>
      <c r="H157" s="89"/>
    </row>
    <row r="158" spans="1:8" x14ac:dyDescent="0.25">
      <c r="A158" s="381"/>
      <c r="B158" s="123" t="s">
        <v>1045</v>
      </c>
      <c r="C158" s="123" t="s">
        <v>1066</v>
      </c>
      <c r="D158" s="117">
        <f>D157+1</f>
        <v>131</v>
      </c>
      <c r="E158" s="118">
        <f t="shared" si="21"/>
        <v>0</v>
      </c>
      <c r="F158" s="118" t="s">
        <v>622</v>
      </c>
      <c r="G158" s="12">
        <v>0</v>
      </c>
      <c r="H158" s="89"/>
    </row>
    <row r="159" spans="1:8" x14ac:dyDescent="0.25">
      <c r="A159" s="330"/>
      <c r="B159" s="186" t="s">
        <v>1055</v>
      </c>
      <c r="C159" s="187"/>
      <c r="D159" s="129"/>
      <c r="E159" s="118"/>
      <c r="F159" s="118"/>
      <c r="G159" s="9"/>
      <c r="H159" s="89"/>
    </row>
    <row r="160" spans="1:8" x14ac:dyDescent="0.25">
      <c r="A160" s="379">
        <f>A156+1</f>
        <v>309</v>
      </c>
      <c r="B160" s="123" t="s">
        <v>1108</v>
      </c>
      <c r="C160" s="123" t="s">
        <v>1067</v>
      </c>
      <c r="D160" s="117">
        <f>D158+1</f>
        <v>132</v>
      </c>
      <c r="E160" s="118">
        <f t="shared" ref="E160:E162" si="22">G160</f>
        <v>0</v>
      </c>
      <c r="F160" s="118"/>
      <c r="G160" s="9">
        <v>0</v>
      </c>
      <c r="H160" s="89"/>
    </row>
    <row r="161" spans="1:8" x14ac:dyDescent="0.25">
      <c r="A161" s="380"/>
      <c r="B161" s="123" t="s">
        <v>1046</v>
      </c>
      <c r="C161" s="123" t="s">
        <v>1068</v>
      </c>
      <c r="D161" s="117">
        <f>D160+1</f>
        <v>133</v>
      </c>
      <c r="E161" s="126">
        <f t="shared" si="22"/>
        <v>0</v>
      </c>
      <c r="F161" s="118" t="s">
        <v>623</v>
      </c>
      <c r="G161" s="325">
        <v>0</v>
      </c>
      <c r="H161" s="89"/>
    </row>
    <row r="162" spans="1:8" x14ac:dyDescent="0.25">
      <c r="A162" s="381"/>
      <c r="B162" s="123" t="s">
        <v>1047</v>
      </c>
      <c r="C162" s="123" t="s">
        <v>1069</v>
      </c>
      <c r="D162" s="117">
        <f>D161+1</f>
        <v>134</v>
      </c>
      <c r="E162" s="118">
        <f t="shared" si="22"/>
        <v>0</v>
      </c>
      <c r="F162" s="118" t="s">
        <v>622</v>
      </c>
      <c r="G162" s="12">
        <v>0</v>
      </c>
      <c r="H162" s="89"/>
    </row>
    <row r="163" spans="1:8" x14ac:dyDescent="0.25">
      <c r="A163" s="330"/>
      <c r="B163" s="186" t="s">
        <v>1056</v>
      </c>
      <c r="C163" s="187"/>
      <c r="D163" s="129"/>
      <c r="E163" s="118"/>
      <c r="F163" s="118"/>
      <c r="G163" s="9"/>
      <c r="H163" s="89"/>
    </row>
    <row r="164" spans="1:8" x14ac:dyDescent="0.25">
      <c r="A164" s="379">
        <f>A160+1</f>
        <v>310</v>
      </c>
      <c r="B164" s="123" t="s">
        <v>1109</v>
      </c>
      <c r="C164" s="123" t="s">
        <v>1070</v>
      </c>
      <c r="D164" s="117">
        <f>D162+1</f>
        <v>135</v>
      </c>
      <c r="E164" s="118">
        <f t="shared" ref="E164:E166" si="23">G164</f>
        <v>1</v>
      </c>
      <c r="F164" s="118"/>
      <c r="G164" s="9">
        <v>1</v>
      </c>
      <c r="H164" s="89"/>
    </row>
    <row r="165" spans="1:8" x14ac:dyDescent="0.25">
      <c r="A165" s="380"/>
      <c r="B165" s="123" t="s">
        <v>1048</v>
      </c>
      <c r="C165" s="123" t="s">
        <v>1071</v>
      </c>
      <c r="D165" s="117">
        <f>D164+1</f>
        <v>136</v>
      </c>
      <c r="E165" s="126">
        <f t="shared" si="23"/>
        <v>100</v>
      </c>
      <c r="F165" s="118" t="s">
        <v>623</v>
      </c>
      <c r="G165" s="325">
        <v>100</v>
      </c>
      <c r="H165" s="89"/>
    </row>
    <row r="166" spans="1:8" x14ac:dyDescent="0.25">
      <c r="A166" s="381"/>
      <c r="B166" s="123" t="s">
        <v>1049</v>
      </c>
      <c r="C166" s="123" t="s">
        <v>1072</v>
      </c>
      <c r="D166" s="117">
        <f>D165+1</f>
        <v>137</v>
      </c>
      <c r="E166" s="118">
        <f t="shared" si="23"/>
        <v>5</v>
      </c>
      <c r="F166" s="118" t="s">
        <v>622</v>
      </c>
      <c r="G166" s="12">
        <v>5</v>
      </c>
      <c r="H166" s="89"/>
    </row>
    <row r="167" spans="1:8" x14ac:dyDescent="0.25">
      <c r="A167" s="330"/>
      <c r="B167" s="186" t="s">
        <v>1057</v>
      </c>
      <c r="C167" s="187"/>
      <c r="D167" s="129"/>
      <c r="E167" s="118"/>
      <c r="F167" s="118"/>
      <c r="G167" s="9"/>
      <c r="H167" s="89"/>
    </row>
    <row r="168" spans="1:8" x14ac:dyDescent="0.25">
      <c r="A168" s="379">
        <f>A164+1</f>
        <v>311</v>
      </c>
      <c r="B168" s="123" t="s">
        <v>1110</v>
      </c>
      <c r="C168" s="123" t="s">
        <v>1073</v>
      </c>
      <c r="D168" s="117">
        <f>D166+1</f>
        <v>138</v>
      </c>
      <c r="E168" s="118">
        <f t="shared" ref="E168:E170" si="24">G168</f>
        <v>0</v>
      </c>
      <c r="F168" s="118"/>
      <c r="G168" s="9">
        <v>0</v>
      </c>
      <c r="H168" s="89"/>
    </row>
    <row r="169" spans="1:8" x14ac:dyDescent="0.25">
      <c r="A169" s="380"/>
      <c r="B169" s="123" t="s">
        <v>1050</v>
      </c>
      <c r="C169" s="123" t="s">
        <v>1074</v>
      </c>
      <c r="D169" s="117">
        <f>D168+1</f>
        <v>139</v>
      </c>
      <c r="E169" s="126">
        <f t="shared" si="24"/>
        <v>0</v>
      </c>
      <c r="F169" s="118" t="s">
        <v>623</v>
      </c>
      <c r="G169" s="325">
        <v>0</v>
      </c>
      <c r="H169" s="89"/>
    </row>
    <row r="170" spans="1:8" x14ac:dyDescent="0.25">
      <c r="A170" s="381"/>
      <c r="B170" s="123" t="s">
        <v>1051</v>
      </c>
      <c r="C170" s="123" t="s">
        <v>1075</v>
      </c>
      <c r="D170" s="117">
        <f>D169+1</f>
        <v>140</v>
      </c>
      <c r="E170" s="118">
        <f t="shared" si="24"/>
        <v>0</v>
      </c>
      <c r="F170" s="118" t="s">
        <v>622</v>
      </c>
      <c r="G170" s="12">
        <v>0</v>
      </c>
      <c r="H170" s="89"/>
    </row>
    <row r="171" spans="1:8" x14ac:dyDescent="0.25">
      <c r="A171" s="188"/>
      <c r="B171" s="183" t="s">
        <v>624</v>
      </c>
      <c r="C171" s="185"/>
      <c r="D171" s="339"/>
      <c r="E171" s="118"/>
      <c r="F171" s="118"/>
      <c r="G171" s="9"/>
    </row>
    <row r="172" spans="1:8" x14ac:dyDescent="0.25">
      <c r="A172" s="379">
        <f>A168+1</f>
        <v>312</v>
      </c>
      <c r="B172" s="123" t="s">
        <v>51</v>
      </c>
      <c r="C172" s="123" t="s">
        <v>345</v>
      </c>
      <c r="D172" s="117">
        <f>D170+1</f>
        <v>141</v>
      </c>
      <c r="E172" s="118">
        <f t="shared" si="8"/>
        <v>1</v>
      </c>
      <c r="F172" s="118"/>
      <c r="G172" s="9">
        <v>1</v>
      </c>
      <c r="H172" s="89"/>
    </row>
    <row r="173" spans="1:8" x14ac:dyDescent="0.25">
      <c r="A173" s="381"/>
      <c r="B173" s="123" t="s">
        <v>52</v>
      </c>
      <c r="C173" s="123" t="s">
        <v>346</v>
      </c>
      <c r="D173" s="117">
        <f>D172+1</f>
        <v>142</v>
      </c>
      <c r="E173" s="118">
        <f t="shared" si="8"/>
        <v>1</v>
      </c>
      <c r="F173" s="118" t="s">
        <v>612</v>
      </c>
      <c r="G173" s="9">
        <v>1</v>
      </c>
      <c r="H173" s="89"/>
    </row>
    <row r="174" spans="1:8" x14ac:dyDescent="0.25">
      <c r="A174" s="188"/>
      <c r="B174" s="183" t="s">
        <v>625</v>
      </c>
      <c r="C174" s="185"/>
      <c r="D174" s="339"/>
      <c r="E174" s="118"/>
      <c r="F174" s="118"/>
      <c r="G174" s="9"/>
    </row>
    <row r="175" spans="1:8" x14ac:dyDescent="0.25">
      <c r="A175" s="379">
        <f>A172+1</f>
        <v>313</v>
      </c>
      <c r="B175" s="123" t="s">
        <v>53</v>
      </c>
      <c r="C175" s="123" t="s">
        <v>347</v>
      </c>
      <c r="D175" s="117">
        <f>D173+1</f>
        <v>143</v>
      </c>
      <c r="E175" s="118">
        <f t="shared" si="8"/>
        <v>0</v>
      </c>
      <c r="F175" s="118"/>
      <c r="G175" s="9">
        <v>0</v>
      </c>
      <c r="H175" s="89"/>
    </row>
    <row r="176" spans="1:8" x14ac:dyDescent="0.25">
      <c r="A176" s="381"/>
      <c r="B176" s="123" t="s">
        <v>54</v>
      </c>
      <c r="C176" s="123" t="s">
        <v>348</v>
      </c>
      <c r="D176" s="117">
        <f>D175+1</f>
        <v>144</v>
      </c>
      <c r="E176" s="118">
        <f t="shared" si="8"/>
        <v>0</v>
      </c>
      <c r="F176" s="118" t="s">
        <v>612</v>
      </c>
      <c r="G176" s="9">
        <v>0</v>
      </c>
      <c r="H176" s="89"/>
    </row>
    <row r="177" spans="1:8" x14ac:dyDescent="0.25">
      <c r="A177" s="188"/>
      <c r="B177" s="183" t="s">
        <v>626</v>
      </c>
      <c r="C177" s="185"/>
      <c r="D177" s="339"/>
      <c r="E177" s="118"/>
      <c r="F177" s="118"/>
      <c r="G177" s="9"/>
    </row>
    <row r="178" spans="1:8" x14ac:dyDescent="0.25">
      <c r="A178" s="379">
        <f>A175+1</f>
        <v>314</v>
      </c>
      <c r="B178" s="123" t="s">
        <v>55</v>
      </c>
      <c r="C178" s="123" t="s">
        <v>349</v>
      </c>
      <c r="D178" s="117">
        <f>D176+1</f>
        <v>145</v>
      </c>
      <c r="E178" s="118">
        <f t="shared" si="8"/>
        <v>1</v>
      </c>
      <c r="F178" s="118"/>
      <c r="G178" s="9">
        <v>1</v>
      </c>
      <c r="H178" s="89"/>
    </row>
    <row r="179" spans="1:8" x14ac:dyDescent="0.25">
      <c r="A179" s="381"/>
      <c r="B179" s="123" t="s">
        <v>56</v>
      </c>
      <c r="C179" s="123" t="s">
        <v>350</v>
      </c>
      <c r="D179" s="117">
        <f>D178+1</f>
        <v>146</v>
      </c>
      <c r="E179" s="118">
        <f t="shared" si="8"/>
        <v>0</v>
      </c>
      <c r="F179" s="118" t="s">
        <v>612</v>
      </c>
      <c r="G179" s="9">
        <v>0</v>
      </c>
      <c r="H179" s="89"/>
    </row>
    <row r="180" spans="1:8" x14ac:dyDescent="0.25">
      <c r="A180" s="188"/>
      <c r="B180" s="183" t="s">
        <v>627</v>
      </c>
      <c r="C180" s="185"/>
      <c r="D180" s="339"/>
      <c r="E180" s="118"/>
      <c r="F180" s="118"/>
      <c r="G180" s="9"/>
    </row>
    <row r="181" spans="1:8" x14ac:dyDescent="0.25">
      <c r="A181" s="379">
        <f>A178+1</f>
        <v>315</v>
      </c>
      <c r="B181" s="123" t="s">
        <v>57</v>
      </c>
      <c r="C181" s="123" t="s">
        <v>351</v>
      </c>
      <c r="D181" s="117">
        <f>D179+1</f>
        <v>147</v>
      </c>
      <c r="E181" s="118">
        <f t="shared" si="8"/>
        <v>1</v>
      </c>
      <c r="F181" s="118"/>
      <c r="G181" s="9">
        <v>1</v>
      </c>
      <c r="H181" s="89"/>
    </row>
    <row r="182" spans="1:8" x14ac:dyDescent="0.25">
      <c r="A182" s="380"/>
      <c r="B182" s="123" t="s">
        <v>58</v>
      </c>
      <c r="C182" s="123" t="s">
        <v>352</v>
      </c>
      <c r="D182" s="117">
        <f>D181+1</f>
        <v>148</v>
      </c>
      <c r="E182" s="126">
        <f t="shared" si="8"/>
        <v>100</v>
      </c>
      <c r="F182" s="118" t="s">
        <v>623</v>
      </c>
      <c r="G182" s="93">
        <v>100</v>
      </c>
      <c r="H182" s="89"/>
    </row>
    <row r="183" spans="1:8" x14ac:dyDescent="0.25">
      <c r="A183" s="380"/>
      <c r="B183" s="123" t="s">
        <v>59</v>
      </c>
      <c r="C183" s="123" t="s">
        <v>353</v>
      </c>
      <c r="D183" s="117">
        <f t="shared" ref="D183:D190" si="25">D182+1</f>
        <v>149</v>
      </c>
      <c r="E183" s="118">
        <f t="shared" si="8"/>
        <v>5</v>
      </c>
      <c r="F183" s="118" t="s">
        <v>622</v>
      </c>
      <c r="G183" s="12">
        <v>5</v>
      </c>
      <c r="H183" s="89"/>
    </row>
    <row r="184" spans="1:8" x14ac:dyDescent="0.25">
      <c r="A184" s="380"/>
      <c r="B184" s="123" t="s">
        <v>60</v>
      </c>
      <c r="C184" s="123" t="s">
        <v>354</v>
      </c>
      <c r="D184" s="117">
        <f t="shared" si="25"/>
        <v>150</v>
      </c>
      <c r="E184" s="118">
        <f t="shared" si="8"/>
        <v>1</v>
      </c>
      <c r="F184" s="118"/>
      <c r="G184" s="9">
        <v>1</v>
      </c>
      <c r="H184" s="89"/>
    </row>
    <row r="185" spans="1:8" x14ac:dyDescent="0.25">
      <c r="A185" s="381"/>
      <c r="B185" s="123" t="s">
        <v>61</v>
      </c>
      <c r="C185" s="123" t="s">
        <v>355</v>
      </c>
      <c r="D185" s="117">
        <f t="shared" si="25"/>
        <v>151</v>
      </c>
      <c r="E185" s="118">
        <f t="shared" si="8"/>
        <v>0</v>
      </c>
      <c r="F185" s="118"/>
      <c r="G185" s="9">
        <v>0</v>
      </c>
      <c r="H185" s="89"/>
    </row>
    <row r="186" spans="1:8" x14ac:dyDescent="0.25">
      <c r="A186" s="379">
        <f>A181+1</f>
        <v>316</v>
      </c>
      <c r="B186" s="123" t="s">
        <v>62</v>
      </c>
      <c r="C186" s="123" t="s">
        <v>356</v>
      </c>
      <c r="D186" s="117">
        <f t="shared" si="25"/>
        <v>152</v>
      </c>
      <c r="E186" s="118">
        <f t="shared" si="8"/>
        <v>6</v>
      </c>
      <c r="F186" s="118" t="s">
        <v>628</v>
      </c>
      <c r="G186" s="9">
        <v>6</v>
      </c>
      <c r="H186" s="89"/>
    </row>
    <row r="187" spans="1:8" x14ac:dyDescent="0.25">
      <c r="A187" s="380"/>
      <c r="B187" s="123" t="s">
        <v>63</v>
      </c>
      <c r="C187" s="123" t="s">
        <v>357</v>
      </c>
      <c r="D187" s="117">
        <f t="shared" si="25"/>
        <v>153</v>
      </c>
      <c r="E187" s="118">
        <f t="shared" si="8"/>
        <v>6</v>
      </c>
      <c r="F187" s="118" t="s">
        <v>628</v>
      </c>
      <c r="G187" s="9">
        <v>6</v>
      </c>
      <c r="H187" s="89"/>
    </row>
    <row r="188" spans="1:8" x14ac:dyDescent="0.25">
      <c r="A188" s="380"/>
      <c r="B188" s="123" t="s">
        <v>64</v>
      </c>
      <c r="C188" s="123" t="s">
        <v>358</v>
      </c>
      <c r="D188" s="117">
        <f t="shared" si="25"/>
        <v>154</v>
      </c>
      <c r="E188" s="118">
        <f t="shared" si="8"/>
        <v>6</v>
      </c>
      <c r="F188" s="118" t="s">
        <v>628</v>
      </c>
      <c r="G188" s="9">
        <v>6</v>
      </c>
      <c r="H188" s="89"/>
    </row>
    <row r="189" spans="1:8" x14ac:dyDescent="0.25">
      <c r="A189" s="380"/>
      <c r="B189" s="123" t="s">
        <v>65</v>
      </c>
      <c r="C189" s="123" t="s">
        <v>359</v>
      </c>
      <c r="D189" s="117">
        <f t="shared" si="25"/>
        <v>155</v>
      </c>
      <c r="E189" s="118">
        <f t="shared" si="8"/>
        <v>1</v>
      </c>
      <c r="F189" s="118"/>
      <c r="G189" s="9">
        <v>1</v>
      </c>
      <c r="H189" s="89"/>
    </row>
    <row r="190" spans="1:8" x14ac:dyDescent="0.25">
      <c r="A190" s="381"/>
      <c r="B190" s="123" t="s">
        <v>1181</v>
      </c>
      <c r="C190" s="123" t="s">
        <v>360</v>
      </c>
      <c r="D190" s="117">
        <f t="shared" si="25"/>
        <v>156</v>
      </c>
      <c r="E190" s="118">
        <f t="shared" si="8"/>
        <v>3</v>
      </c>
      <c r="F190" s="118"/>
      <c r="G190" s="9">
        <v>3</v>
      </c>
      <c r="H190" s="89"/>
    </row>
    <row r="191" spans="1:8" x14ac:dyDescent="0.25">
      <c r="A191" s="188"/>
      <c r="B191" s="183" t="s">
        <v>1235</v>
      </c>
      <c r="C191" s="185"/>
      <c r="D191" s="339"/>
      <c r="E191" s="118"/>
      <c r="F191" s="118"/>
      <c r="G191" s="9"/>
    </row>
    <row r="192" spans="1:8" ht="31.5" x14ac:dyDescent="0.25">
      <c r="A192" s="379">
        <f>A186+1</f>
        <v>317</v>
      </c>
      <c r="B192" s="123" t="s">
        <v>992</v>
      </c>
      <c r="C192" s="123" t="s">
        <v>1236</v>
      </c>
      <c r="D192" s="117">
        <f>D190+1</f>
        <v>157</v>
      </c>
      <c r="E192" s="118">
        <f t="shared" si="8"/>
        <v>1969</v>
      </c>
      <c r="F192" s="118" t="s">
        <v>612</v>
      </c>
      <c r="G192" s="12">
        <v>1969</v>
      </c>
      <c r="H192" s="89"/>
    </row>
    <row r="193" spans="1:8" x14ac:dyDescent="0.25">
      <c r="A193" s="380"/>
      <c r="B193" s="123" t="s">
        <v>1238</v>
      </c>
      <c r="C193" s="123" t="s">
        <v>1237</v>
      </c>
      <c r="D193" s="117">
        <f>D192+1</f>
        <v>158</v>
      </c>
      <c r="E193" s="118">
        <f t="shared" ref="E193:E306" si="26">G193</f>
        <v>1</v>
      </c>
      <c r="F193" s="118"/>
      <c r="G193" s="9">
        <v>1</v>
      </c>
      <c r="H193" s="89"/>
    </row>
    <row r="194" spans="1:8" x14ac:dyDescent="0.25">
      <c r="A194" s="381"/>
      <c r="B194" s="123" t="s">
        <v>66</v>
      </c>
      <c r="C194" s="123" t="s">
        <v>361</v>
      </c>
      <c r="D194" s="117">
        <f>D193+1</f>
        <v>159</v>
      </c>
      <c r="E194" s="118">
        <f t="shared" si="26"/>
        <v>0</v>
      </c>
      <c r="F194" s="118" t="s">
        <v>612</v>
      </c>
      <c r="G194" s="9">
        <v>0</v>
      </c>
      <c r="H194" s="89"/>
    </row>
    <row r="195" spans="1:8" x14ac:dyDescent="0.25">
      <c r="A195" s="188"/>
      <c r="B195" s="183" t="s">
        <v>630</v>
      </c>
      <c r="C195" s="185"/>
      <c r="D195" s="339"/>
      <c r="E195" s="118"/>
      <c r="F195" s="118"/>
      <c r="G195" s="9"/>
    </row>
    <row r="196" spans="1:8" x14ac:dyDescent="0.25">
      <c r="A196" s="379">
        <f>A192+1</f>
        <v>318</v>
      </c>
      <c r="B196" s="123" t="s">
        <v>67</v>
      </c>
      <c r="C196" s="123" t="s">
        <v>362</v>
      </c>
      <c r="D196" s="117">
        <f>D194+1</f>
        <v>160</v>
      </c>
      <c r="E196" s="118">
        <f t="shared" si="26"/>
        <v>0</v>
      </c>
      <c r="F196" s="118"/>
      <c r="G196" s="9">
        <v>0</v>
      </c>
      <c r="H196" s="89"/>
    </row>
    <row r="197" spans="1:8" x14ac:dyDescent="0.25">
      <c r="A197" s="381"/>
      <c r="B197" s="123" t="s">
        <v>68</v>
      </c>
      <c r="C197" s="123" t="s">
        <v>363</v>
      </c>
      <c r="D197" s="117">
        <f>D196+1</f>
        <v>161</v>
      </c>
      <c r="E197" s="118">
        <f t="shared" si="26"/>
        <v>0</v>
      </c>
      <c r="F197" s="118" t="s">
        <v>631</v>
      </c>
      <c r="G197" s="9">
        <v>0</v>
      </c>
      <c r="H197" s="89"/>
    </row>
    <row r="198" spans="1:8" x14ac:dyDescent="0.25">
      <c r="A198" s="379">
        <f>A196+1</f>
        <v>319</v>
      </c>
      <c r="B198" s="123" t="s">
        <v>69</v>
      </c>
      <c r="C198" s="123" t="s">
        <v>364</v>
      </c>
      <c r="D198" s="117">
        <f t="shared" ref="D198:D205" si="27">D197+1</f>
        <v>162</v>
      </c>
      <c r="E198" s="118">
        <f t="shared" si="26"/>
        <v>0</v>
      </c>
      <c r="F198" s="118"/>
      <c r="G198" s="9">
        <v>0</v>
      </c>
      <c r="H198" s="89"/>
    </row>
    <row r="199" spans="1:8" x14ac:dyDescent="0.25">
      <c r="A199" s="381"/>
      <c r="B199" s="123" t="s">
        <v>70</v>
      </c>
      <c r="C199" s="123" t="s">
        <v>365</v>
      </c>
      <c r="D199" s="117">
        <f t="shared" si="27"/>
        <v>163</v>
      </c>
      <c r="E199" s="118">
        <f t="shared" si="26"/>
        <v>0</v>
      </c>
      <c r="F199" s="118" t="s">
        <v>631</v>
      </c>
      <c r="G199" s="9">
        <v>0</v>
      </c>
      <c r="H199" s="89"/>
    </row>
    <row r="200" spans="1:8" x14ac:dyDescent="0.25">
      <c r="A200" s="379">
        <f>A198+1</f>
        <v>320</v>
      </c>
      <c r="B200" s="123" t="s">
        <v>797</v>
      </c>
      <c r="C200" s="123" t="s">
        <v>366</v>
      </c>
      <c r="D200" s="117">
        <f t="shared" si="27"/>
        <v>164</v>
      </c>
      <c r="E200" s="118">
        <f t="shared" si="26"/>
        <v>1</v>
      </c>
      <c r="F200" s="118"/>
      <c r="G200" s="9">
        <v>1</v>
      </c>
      <c r="H200" s="89"/>
    </row>
    <row r="201" spans="1:8" x14ac:dyDescent="0.25">
      <c r="A201" s="381"/>
      <c r="B201" s="123" t="s">
        <v>798</v>
      </c>
      <c r="C201" s="123" t="s">
        <v>367</v>
      </c>
      <c r="D201" s="117">
        <f t="shared" si="27"/>
        <v>165</v>
      </c>
      <c r="E201" s="118">
        <f t="shared" si="26"/>
        <v>0</v>
      </c>
      <c r="F201" s="118" t="s">
        <v>631</v>
      </c>
      <c r="G201" s="9">
        <v>0</v>
      </c>
      <c r="H201" s="89"/>
    </row>
    <row r="202" spans="1:8" x14ac:dyDescent="0.25">
      <c r="A202" s="379">
        <f>A200+1</f>
        <v>321</v>
      </c>
      <c r="B202" s="123" t="s">
        <v>71</v>
      </c>
      <c r="C202" s="123" t="s">
        <v>368</v>
      </c>
      <c r="D202" s="117">
        <f t="shared" si="27"/>
        <v>166</v>
      </c>
      <c r="E202" s="118">
        <f>G202</f>
        <v>1</v>
      </c>
      <c r="F202" s="118"/>
      <c r="G202" s="9">
        <v>1</v>
      </c>
      <c r="H202" s="89"/>
    </row>
    <row r="203" spans="1:8" x14ac:dyDescent="0.25">
      <c r="A203" s="381"/>
      <c r="B203" s="123" t="s">
        <v>72</v>
      </c>
      <c r="C203" s="123" t="s">
        <v>369</v>
      </c>
      <c r="D203" s="117">
        <f t="shared" si="27"/>
        <v>167</v>
      </c>
      <c r="E203" s="118">
        <f>G203</f>
        <v>0</v>
      </c>
      <c r="F203" s="118" t="s">
        <v>631</v>
      </c>
      <c r="G203" s="9">
        <v>0</v>
      </c>
      <c r="H203" s="89"/>
    </row>
    <row r="204" spans="1:8" x14ac:dyDescent="0.25">
      <c r="A204" s="379">
        <f>A202+1</f>
        <v>322</v>
      </c>
      <c r="B204" s="123" t="s">
        <v>73</v>
      </c>
      <c r="C204" s="123" t="s">
        <v>370</v>
      </c>
      <c r="D204" s="117">
        <f t="shared" si="27"/>
        <v>168</v>
      </c>
      <c r="E204" s="118">
        <f>G204</f>
        <v>1</v>
      </c>
      <c r="F204" s="118"/>
      <c r="G204" s="9">
        <v>1</v>
      </c>
      <c r="H204" s="89"/>
    </row>
    <row r="205" spans="1:8" x14ac:dyDescent="0.25">
      <c r="A205" s="381"/>
      <c r="B205" s="123" t="s">
        <v>74</v>
      </c>
      <c r="C205" s="123" t="s">
        <v>371</v>
      </c>
      <c r="D205" s="117">
        <f t="shared" si="27"/>
        <v>169</v>
      </c>
      <c r="E205" s="118" t="str">
        <f>G205</f>
        <v>DBD</v>
      </c>
      <c r="F205" s="118"/>
      <c r="G205" s="9" t="s">
        <v>1359</v>
      </c>
      <c r="H205" s="89"/>
    </row>
    <row r="206" spans="1:8" x14ac:dyDescent="0.25">
      <c r="A206" s="329"/>
      <c r="B206" s="183" t="s">
        <v>1241</v>
      </c>
      <c r="C206" s="185"/>
      <c r="D206" s="339"/>
      <c r="E206" s="118"/>
      <c r="F206" s="118"/>
      <c r="G206" s="9"/>
    </row>
    <row r="207" spans="1:8" x14ac:dyDescent="0.25">
      <c r="A207" s="379">
        <f>A204+1</f>
        <v>323</v>
      </c>
      <c r="B207" s="123" t="s">
        <v>826</v>
      </c>
      <c r="C207" s="123" t="s">
        <v>883</v>
      </c>
      <c r="D207" s="117">
        <f>D205+1</f>
        <v>170</v>
      </c>
      <c r="E207" s="118">
        <f>G207</f>
        <v>55</v>
      </c>
      <c r="F207" s="118" t="s">
        <v>884</v>
      </c>
      <c r="G207" s="9">
        <v>55</v>
      </c>
      <c r="H207" s="89"/>
    </row>
    <row r="208" spans="1:8" x14ac:dyDescent="0.25">
      <c r="A208" s="380"/>
      <c r="B208" s="123" t="s">
        <v>827</v>
      </c>
      <c r="C208" s="123" t="s">
        <v>828</v>
      </c>
      <c r="D208" s="117">
        <f>D207+1</f>
        <v>171</v>
      </c>
      <c r="E208" s="118">
        <f>G208</f>
        <v>5</v>
      </c>
      <c r="F208" s="118" t="s">
        <v>612</v>
      </c>
      <c r="G208" s="9">
        <v>5</v>
      </c>
      <c r="H208" s="89"/>
    </row>
    <row r="209" spans="1:8" x14ac:dyDescent="0.25">
      <c r="A209" s="381"/>
      <c r="B209" s="123" t="s">
        <v>1742</v>
      </c>
      <c r="C209" s="123" t="s">
        <v>829</v>
      </c>
      <c r="D209" s="117">
        <f>D208+1</f>
        <v>172</v>
      </c>
      <c r="E209" s="118">
        <f>G209</f>
        <v>50</v>
      </c>
      <c r="F209" s="118" t="s">
        <v>636</v>
      </c>
      <c r="G209" s="9">
        <v>50</v>
      </c>
      <c r="H209" s="89"/>
    </row>
    <row r="210" spans="1:8" x14ac:dyDescent="0.25">
      <c r="A210" s="329"/>
      <c r="B210" s="183" t="s">
        <v>799</v>
      </c>
      <c r="C210" s="185"/>
      <c r="D210" s="339"/>
      <c r="E210" s="118"/>
      <c r="F210" s="118"/>
      <c r="G210" s="9"/>
      <c r="H210" s="89"/>
    </row>
    <row r="211" spans="1:8" x14ac:dyDescent="0.25">
      <c r="A211" s="379">
        <f>A207+1</f>
        <v>324</v>
      </c>
      <c r="B211" s="123" t="s">
        <v>830</v>
      </c>
      <c r="C211" s="123" t="s">
        <v>833</v>
      </c>
      <c r="D211" s="117">
        <f>D209+1</f>
        <v>173</v>
      </c>
      <c r="E211" s="118">
        <f>G211</f>
        <v>144</v>
      </c>
      <c r="F211" s="118" t="s">
        <v>636</v>
      </c>
      <c r="G211" s="9">
        <v>144</v>
      </c>
      <c r="H211" s="89"/>
    </row>
    <row r="212" spans="1:8" x14ac:dyDescent="0.25">
      <c r="A212" s="380"/>
      <c r="B212" s="123" t="s">
        <v>831</v>
      </c>
      <c r="C212" s="123" t="s">
        <v>834</v>
      </c>
      <c r="D212" s="117">
        <f>D211+1</f>
        <v>174</v>
      </c>
      <c r="E212" s="118">
        <f>G212</f>
        <v>30</v>
      </c>
      <c r="F212" s="118" t="s">
        <v>636</v>
      </c>
      <c r="G212" s="9">
        <v>30</v>
      </c>
      <c r="H212" s="89"/>
    </row>
    <row r="213" spans="1:8" x14ac:dyDescent="0.25">
      <c r="A213" s="381"/>
      <c r="B213" s="123" t="s">
        <v>832</v>
      </c>
      <c r="C213" s="123" t="s">
        <v>835</v>
      </c>
      <c r="D213" s="117">
        <f>D212+1</f>
        <v>175</v>
      </c>
      <c r="E213" s="118">
        <f>G213</f>
        <v>15</v>
      </c>
      <c r="F213" s="118" t="s">
        <v>636</v>
      </c>
      <c r="G213" s="9">
        <v>15</v>
      </c>
      <c r="H213" s="89"/>
    </row>
    <row r="214" spans="1:8" x14ac:dyDescent="0.25">
      <c r="A214" s="329"/>
      <c r="B214" s="183" t="s">
        <v>1242</v>
      </c>
      <c r="C214" s="185"/>
      <c r="D214" s="339"/>
      <c r="E214" s="118"/>
      <c r="F214" s="118"/>
      <c r="G214" s="9"/>
      <c r="H214" s="89"/>
    </row>
    <row r="215" spans="1:8" x14ac:dyDescent="0.25">
      <c r="A215" s="376">
        <f>A211+1</f>
        <v>325</v>
      </c>
      <c r="B215" s="183" t="s">
        <v>800</v>
      </c>
      <c r="C215" s="187"/>
      <c r="D215" s="339"/>
      <c r="E215" s="118"/>
      <c r="F215" s="118"/>
      <c r="G215" s="9"/>
    </row>
    <row r="216" spans="1:8" x14ac:dyDescent="0.25">
      <c r="A216" s="377"/>
      <c r="B216" s="123" t="s">
        <v>836</v>
      </c>
      <c r="C216" s="123" t="s">
        <v>845</v>
      </c>
      <c r="D216" s="117">
        <f>D213+1</f>
        <v>176</v>
      </c>
      <c r="E216" s="118">
        <f t="shared" ref="E216:E226" si="28">G216</f>
        <v>5</v>
      </c>
      <c r="F216" s="118" t="s">
        <v>612</v>
      </c>
      <c r="G216" s="9">
        <v>5</v>
      </c>
      <c r="H216" s="89">
        <f>$G$208</f>
        <v>5</v>
      </c>
    </row>
    <row r="217" spans="1:8" x14ac:dyDescent="0.25">
      <c r="A217" s="377"/>
      <c r="B217" s="123" t="s">
        <v>837</v>
      </c>
      <c r="C217" s="123" t="s">
        <v>846</v>
      </c>
      <c r="D217" s="117">
        <f>D216+1</f>
        <v>177</v>
      </c>
      <c r="E217" s="118">
        <f t="shared" si="28"/>
        <v>5</v>
      </c>
      <c r="F217" s="118" t="s">
        <v>612</v>
      </c>
      <c r="G217" s="9">
        <v>5</v>
      </c>
      <c r="H217" s="89">
        <f>$G$208</f>
        <v>5</v>
      </c>
    </row>
    <row r="218" spans="1:8" x14ac:dyDescent="0.25">
      <c r="A218" s="377"/>
      <c r="B218" s="123" t="s">
        <v>838</v>
      </c>
      <c r="C218" s="123" t="s">
        <v>847</v>
      </c>
      <c r="D218" s="117">
        <f t="shared" ref="D218:D226" si="29">D217+1</f>
        <v>178</v>
      </c>
      <c r="E218" s="118">
        <f t="shared" si="28"/>
        <v>2</v>
      </c>
      <c r="F218" s="118" t="s">
        <v>612</v>
      </c>
      <c r="G218" s="9">
        <v>2</v>
      </c>
      <c r="H218" s="89">
        <f>$G$208</f>
        <v>5</v>
      </c>
    </row>
    <row r="219" spans="1:8" x14ac:dyDescent="0.25">
      <c r="A219" s="377"/>
      <c r="B219" s="123" t="s">
        <v>839</v>
      </c>
      <c r="C219" s="123" t="s">
        <v>848</v>
      </c>
      <c r="D219" s="117">
        <f t="shared" si="29"/>
        <v>179</v>
      </c>
      <c r="E219" s="118">
        <f t="shared" si="28"/>
        <v>5</v>
      </c>
      <c r="F219" s="118" t="s">
        <v>612</v>
      </c>
      <c r="G219" s="9">
        <v>5</v>
      </c>
      <c r="H219" s="89">
        <f>$G$208</f>
        <v>5</v>
      </c>
    </row>
    <row r="220" spans="1:8" x14ac:dyDescent="0.25">
      <c r="A220" s="377"/>
      <c r="B220" s="123" t="s">
        <v>840</v>
      </c>
      <c r="C220" s="123" t="s">
        <v>849</v>
      </c>
      <c r="D220" s="117">
        <f t="shared" si="29"/>
        <v>180</v>
      </c>
      <c r="E220" s="118">
        <f t="shared" si="28"/>
        <v>0</v>
      </c>
      <c r="F220" s="118" t="s">
        <v>612</v>
      </c>
      <c r="G220" s="9">
        <v>0</v>
      </c>
      <c r="H220" s="89">
        <f>G220</f>
        <v>0</v>
      </c>
    </row>
    <row r="221" spans="1:8" x14ac:dyDescent="0.25">
      <c r="A221" s="377"/>
      <c r="B221" s="123" t="s">
        <v>841</v>
      </c>
      <c r="C221" s="123" t="s">
        <v>850</v>
      </c>
      <c r="D221" s="117">
        <f t="shared" si="29"/>
        <v>181</v>
      </c>
      <c r="E221" s="118">
        <f t="shared" si="28"/>
        <v>5</v>
      </c>
      <c r="F221" s="118" t="s">
        <v>612</v>
      </c>
      <c r="G221" s="9">
        <v>5</v>
      </c>
      <c r="H221" s="89">
        <f>H220</f>
        <v>0</v>
      </c>
    </row>
    <row r="222" spans="1:8" x14ac:dyDescent="0.25">
      <c r="A222" s="377"/>
      <c r="B222" s="123" t="s">
        <v>842</v>
      </c>
      <c r="C222" s="123" t="s">
        <v>851</v>
      </c>
      <c r="D222" s="117">
        <f t="shared" si="29"/>
        <v>182</v>
      </c>
      <c r="E222" s="118">
        <f t="shared" si="28"/>
        <v>5</v>
      </c>
      <c r="F222" s="118" t="s">
        <v>612</v>
      </c>
      <c r="G222" s="9">
        <v>5</v>
      </c>
      <c r="H222" s="89">
        <f>G222</f>
        <v>5</v>
      </c>
    </row>
    <row r="223" spans="1:8" x14ac:dyDescent="0.25">
      <c r="A223" s="377"/>
      <c r="B223" s="123" t="s">
        <v>843</v>
      </c>
      <c r="C223" s="123" t="s">
        <v>852</v>
      </c>
      <c r="D223" s="117">
        <f t="shared" si="29"/>
        <v>183</v>
      </c>
      <c r="E223" s="118">
        <f t="shared" si="28"/>
        <v>5</v>
      </c>
      <c r="F223" s="118" t="s">
        <v>612</v>
      </c>
      <c r="G223" s="9">
        <v>5</v>
      </c>
      <c r="H223" s="89">
        <f>H222</f>
        <v>5</v>
      </c>
    </row>
    <row r="224" spans="1:8" x14ac:dyDescent="0.25">
      <c r="A224" s="377"/>
      <c r="B224" s="123" t="s">
        <v>1702</v>
      </c>
      <c r="C224" s="123" t="s">
        <v>1704</v>
      </c>
      <c r="D224" s="117">
        <f t="shared" si="29"/>
        <v>184</v>
      </c>
      <c r="E224" s="118">
        <f t="shared" si="28"/>
        <v>5</v>
      </c>
      <c r="F224" s="118" t="s">
        <v>612</v>
      </c>
      <c r="G224" s="9">
        <v>5</v>
      </c>
      <c r="H224" s="89">
        <f>$G$208</f>
        <v>5</v>
      </c>
    </row>
    <row r="225" spans="1:8" x14ac:dyDescent="0.25">
      <c r="A225" s="377"/>
      <c r="B225" s="123" t="s">
        <v>1703</v>
      </c>
      <c r="C225" s="123" t="s">
        <v>1705</v>
      </c>
      <c r="D225" s="117">
        <f t="shared" si="29"/>
        <v>185</v>
      </c>
      <c r="E225" s="118">
        <f t="shared" si="28"/>
        <v>5</v>
      </c>
      <c r="F225" s="118" t="s">
        <v>612</v>
      </c>
      <c r="G225" s="9">
        <v>5</v>
      </c>
      <c r="H225" s="89">
        <f>$G$208</f>
        <v>5</v>
      </c>
    </row>
    <row r="226" spans="1:8" x14ac:dyDescent="0.25">
      <c r="A226" s="377"/>
      <c r="B226" s="123" t="s">
        <v>844</v>
      </c>
      <c r="C226" s="123" t="s">
        <v>853</v>
      </c>
      <c r="D226" s="117">
        <f t="shared" si="29"/>
        <v>186</v>
      </c>
      <c r="E226" s="118">
        <f t="shared" si="28"/>
        <v>1</v>
      </c>
      <c r="F226" s="118" t="s">
        <v>612</v>
      </c>
      <c r="G226" s="9">
        <v>1</v>
      </c>
      <c r="H226" s="89">
        <f>$G$208</f>
        <v>5</v>
      </c>
    </row>
    <row r="227" spans="1:8" x14ac:dyDescent="0.25">
      <c r="A227" s="377"/>
      <c r="B227" s="79" t="s">
        <v>805</v>
      </c>
      <c r="C227" s="79" t="s">
        <v>857</v>
      </c>
      <c r="D227" s="87" t="s">
        <v>1123</v>
      </c>
      <c r="E227" s="18">
        <f>G227</f>
        <v>10</v>
      </c>
      <c r="F227" s="18"/>
      <c r="G227" s="9">
        <f>COUNTIF(G216:G226,"&gt;0")</f>
        <v>10</v>
      </c>
    </row>
    <row r="228" spans="1:8" x14ac:dyDescent="0.25">
      <c r="A228" s="377"/>
      <c r="B228" s="125" t="s">
        <v>805</v>
      </c>
      <c r="C228" s="125" t="s">
        <v>857</v>
      </c>
      <c r="D228" s="117">
        <f>D226+1</f>
        <v>187</v>
      </c>
      <c r="E228" s="207">
        <f t="shared" ref="E228" si="30">G228</f>
        <v>10</v>
      </c>
      <c r="F228" s="207" t="s">
        <v>885</v>
      </c>
      <c r="G228" s="209">
        <f>G227</f>
        <v>10</v>
      </c>
    </row>
    <row r="229" spans="1:8" x14ac:dyDescent="0.25">
      <c r="A229" s="377"/>
      <c r="B229" s="79" t="s">
        <v>806</v>
      </c>
      <c r="C229" s="79" t="s">
        <v>858</v>
      </c>
      <c r="D229" s="87" t="s">
        <v>1123</v>
      </c>
      <c r="E229" s="18">
        <f>G229</f>
        <v>9</v>
      </c>
      <c r="F229" s="18"/>
      <c r="G229" s="9">
        <f>SUM(COUNTIF(H220:H223,"&gt;0"),COUNTIF(G216:G219,"&gt;0"),COUNTIF(G224:G226,"&gt;0"))</f>
        <v>9</v>
      </c>
    </row>
    <row r="230" spans="1:8" x14ac:dyDescent="0.25">
      <c r="A230" s="377"/>
      <c r="B230" s="125" t="s">
        <v>806</v>
      </c>
      <c r="C230" s="125" t="s">
        <v>858</v>
      </c>
      <c r="D230" s="117">
        <f>D228+1</f>
        <v>188</v>
      </c>
      <c r="E230" s="207">
        <f t="shared" ref="E230" si="31">G230</f>
        <v>9</v>
      </c>
      <c r="F230" s="207" t="s">
        <v>885</v>
      </c>
      <c r="G230" s="209">
        <f>G229</f>
        <v>9</v>
      </c>
    </row>
    <row r="231" spans="1:8" x14ac:dyDescent="0.25">
      <c r="A231" s="377"/>
      <c r="B231" s="79" t="s">
        <v>803</v>
      </c>
      <c r="C231" s="79" t="s">
        <v>859</v>
      </c>
      <c r="D231" s="87" t="s">
        <v>1123</v>
      </c>
      <c r="E231" s="94">
        <f>G231</f>
        <v>95.555555555555557</v>
      </c>
      <c r="F231" s="18"/>
      <c r="G231" s="93">
        <f>(SUM(G216:G226)/SUM(H216:H226)*100)</f>
        <v>95.555555555555557</v>
      </c>
    </row>
    <row r="232" spans="1:8" x14ac:dyDescent="0.25">
      <c r="A232" s="378"/>
      <c r="B232" s="125" t="s">
        <v>803</v>
      </c>
      <c r="C232" s="125" t="s">
        <v>859</v>
      </c>
      <c r="D232" s="117">
        <f>D230+1</f>
        <v>189</v>
      </c>
      <c r="E232" s="210">
        <f t="shared" ref="E232" si="32">G232</f>
        <v>95.555555555555557</v>
      </c>
      <c r="F232" s="207" t="s">
        <v>886</v>
      </c>
      <c r="G232" s="115">
        <f>G231</f>
        <v>95.555555555555557</v>
      </c>
    </row>
    <row r="233" spans="1:8" x14ac:dyDescent="0.25">
      <c r="A233" s="331"/>
      <c r="B233" s="183" t="s">
        <v>801</v>
      </c>
      <c r="C233" s="185"/>
      <c r="D233" s="339"/>
      <c r="E233" s="118"/>
      <c r="F233" s="118"/>
      <c r="G233" s="9"/>
    </row>
    <row r="234" spans="1:8" x14ac:dyDescent="0.25">
      <c r="A234" s="376">
        <f>A215+1</f>
        <v>326</v>
      </c>
      <c r="B234" s="123" t="s">
        <v>1343</v>
      </c>
      <c r="C234" s="123" t="s">
        <v>867</v>
      </c>
      <c r="D234" s="117">
        <f>D232+1</f>
        <v>190</v>
      </c>
      <c r="E234" s="118">
        <f>G234</f>
        <v>50</v>
      </c>
      <c r="F234" s="118" t="s">
        <v>636</v>
      </c>
      <c r="G234" s="9">
        <v>50</v>
      </c>
      <c r="H234" s="89"/>
    </row>
    <row r="235" spans="1:8" x14ac:dyDescent="0.25">
      <c r="A235" s="377"/>
      <c r="B235" s="123" t="s">
        <v>854</v>
      </c>
      <c r="C235" s="123" t="s">
        <v>868</v>
      </c>
      <c r="D235" s="117">
        <f>D234+1</f>
        <v>191</v>
      </c>
      <c r="E235" s="118">
        <f t="shared" ref="E235:E246" si="33">G235</f>
        <v>50</v>
      </c>
      <c r="F235" s="118" t="s">
        <v>636</v>
      </c>
      <c r="G235" s="9">
        <v>50</v>
      </c>
      <c r="H235" s="89"/>
    </row>
    <row r="236" spans="1:8" x14ac:dyDescent="0.25">
      <c r="A236" s="377"/>
      <c r="B236" s="123" t="s">
        <v>855</v>
      </c>
      <c r="C236" s="123" t="s">
        <v>869</v>
      </c>
      <c r="D236" s="117">
        <f t="shared" ref="D236:D246" si="34">D235+1</f>
        <v>192</v>
      </c>
      <c r="E236" s="118">
        <f t="shared" si="33"/>
        <v>50</v>
      </c>
      <c r="F236" s="118" t="s">
        <v>636</v>
      </c>
      <c r="G236" s="9">
        <v>50</v>
      </c>
      <c r="H236" s="89"/>
    </row>
    <row r="237" spans="1:8" x14ac:dyDescent="0.25">
      <c r="A237" s="377"/>
      <c r="B237" s="123" t="s">
        <v>856</v>
      </c>
      <c r="C237" s="123" t="s">
        <v>870</v>
      </c>
      <c r="D237" s="117">
        <f t="shared" si="34"/>
        <v>193</v>
      </c>
      <c r="E237" s="118">
        <f t="shared" si="33"/>
        <v>50</v>
      </c>
      <c r="F237" s="118" t="s">
        <v>612</v>
      </c>
      <c r="G237" s="9">
        <v>50</v>
      </c>
      <c r="H237" s="89"/>
    </row>
    <row r="238" spans="1:8" x14ac:dyDescent="0.25">
      <c r="A238" s="377"/>
      <c r="B238" s="123" t="s">
        <v>860</v>
      </c>
      <c r="C238" s="123" t="s">
        <v>871</v>
      </c>
      <c r="D238" s="117">
        <f t="shared" si="34"/>
        <v>194</v>
      </c>
      <c r="E238" s="118">
        <f t="shared" si="33"/>
        <v>50</v>
      </c>
      <c r="F238" s="118" t="s">
        <v>612</v>
      </c>
      <c r="G238" s="9">
        <v>50</v>
      </c>
      <c r="H238" s="89"/>
    </row>
    <row r="239" spans="1:8" x14ac:dyDescent="0.25">
      <c r="A239" s="377"/>
      <c r="B239" s="123" t="s">
        <v>861</v>
      </c>
      <c r="C239" s="123" t="s">
        <v>872</v>
      </c>
      <c r="D239" s="117">
        <f t="shared" si="34"/>
        <v>195</v>
      </c>
      <c r="E239" s="118">
        <f t="shared" si="33"/>
        <v>0</v>
      </c>
      <c r="F239" s="118" t="s">
        <v>641</v>
      </c>
      <c r="G239" s="9">
        <v>0</v>
      </c>
      <c r="H239" s="89"/>
    </row>
    <row r="240" spans="1:8" x14ac:dyDescent="0.25">
      <c r="A240" s="377"/>
      <c r="B240" s="123" t="s">
        <v>862</v>
      </c>
      <c r="C240" s="123" t="s">
        <v>873</v>
      </c>
      <c r="D240" s="117">
        <f t="shared" si="34"/>
        <v>196</v>
      </c>
      <c r="E240" s="118">
        <f t="shared" si="33"/>
        <v>16</v>
      </c>
      <c r="F240" s="118" t="s">
        <v>641</v>
      </c>
      <c r="G240" s="9">
        <v>16</v>
      </c>
      <c r="H240" s="89"/>
    </row>
    <row r="241" spans="1:8" x14ac:dyDescent="0.25">
      <c r="A241" s="377"/>
      <c r="B241" s="123" t="s">
        <v>863</v>
      </c>
      <c r="C241" s="123" t="s">
        <v>874</v>
      </c>
      <c r="D241" s="117">
        <f t="shared" si="34"/>
        <v>197</v>
      </c>
      <c r="E241" s="118">
        <f t="shared" si="33"/>
        <v>4</v>
      </c>
      <c r="F241" s="118" t="s">
        <v>641</v>
      </c>
      <c r="G241" s="9">
        <v>4</v>
      </c>
      <c r="H241" s="89"/>
    </row>
    <row r="242" spans="1:8" x14ac:dyDescent="0.25">
      <c r="A242" s="377"/>
      <c r="B242" s="123" t="s">
        <v>1706</v>
      </c>
      <c r="C242" s="123" t="s">
        <v>1708</v>
      </c>
      <c r="D242" s="117">
        <f t="shared" si="34"/>
        <v>198</v>
      </c>
      <c r="E242" s="118">
        <f t="shared" si="33"/>
        <v>50</v>
      </c>
      <c r="F242" s="118" t="s">
        <v>636</v>
      </c>
      <c r="G242" s="9">
        <v>50</v>
      </c>
      <c r="H242" s="89"/>
    </row>
    <row r="243" spans="1:8" x14ac:dyDescent="0.25">
      <c r="A243" s="377"/>
      <c r="B243" s="123" t="s">
        <v>1707</v>
      </c>
      <c r="C243" s="123" t="s">
        <v>1709</v>
      </c>
      <c r="D243" s="117">
        <f t="shared" si="34"/>
        <v>199</v>
      </c>
      <c r="E243" s="118">
        <f t="shared" si="33"/>
        <v>50</v>
      </c>
      <c r="F243" s="118" t="s">
        <v>636</v>
      </c>
      <c r="G243" s="9">
        <v>50</v>
      </c>
      <c r="H243" s="89"/>
    </row>
    <row r="244" spans="1:8" x14ac:dyDescent="0.25">
      <c r="A244" s="377"/>
      <c r="B244" s="123" t="s">
        <v>864</v>
      </c>
      <c r="C244" s="123" t="s">
        <v>875</v>
      </c>
      <c r="D244" s="117">
        <f t="shared" si="34"/>
        <v>200</v>
      </c>
      <c r="E244" s="118">
        <f t="shared" si="33"/>
        <v>50</v>
      </c>
      <c r="F244" s="118" t="s">
        <v>636</v>
      </c>
      <c r="G244" s="9">
        <v>50</v>
      </c>
      <c r="H244" s="89"/>
    </row>
    <row r="245" spans="1:8" x14ac:dyDescent="0.25">
      <c r="A245" s="377"/>
      <c r="B245" s="123" t="s">
        <v>865</v>
      </c>
      <c r="C245" s="123" t="s">
        <v>876</v>
      </c>
      <c r="D245" s="117">
        <f t="shared" si="34"/>
        <v>201</v>
      </c>
      <c r="E245" s="118">
        <f t="shared" si="33"/>
        <v>50</v>
      </c>
      <c r="F245" s="118" t="s">
        <v>636</v>
      </c>
      <c r="G245" s="9">
        <v>50</v>
      </c>
      <c r="H245" s="89"/>
    </row>
    <row r="246" spans="1:8" x14ac:dyDescent="0.25">
      <c r="A246" s="377"/>
      <c r="B246" s="123" t="s">
        <v>866</v>
      </c>
      <c r="C246" s="123" t="s">
        <v>877</v>
      </c>
      <c r="D246" s="117">
        <f t="shared" si="34"/>
        <v>202</v>
      </c>
      <c r="E246" s="118">
        <f t="shared" si="33"/>
        <v>50</v>
      </c>
      <c r="F246" s="118" t="s">
        <v>612</v>
      </c>
      <c r="G246" s="9">
        <v>50</v>
      </c>
      <c r="H246" s="89"/>
    </row>
    <row r="247" spans="1:8" x14ac:dyDescent="0.25">
      <c r="A247" s="377"/>
      <c r="B247" s="79" t="s">
        <v>804</v>
      </c>
      <c r="C247" s="79" t="s">
        <v>878</v>
      </c>
      <c r="D247" s="87" t="s">
        <v>1123</v>
      </c>
      <c r="E247" s="94"/>
      <c r="F247" s="18"/>
      <c r="G247" s="93">
        <f>IF(G209=0,0,((SUM(G234:G238,G242:G246)/(10*G209))*100))</f>
        <v>100</v>
      </c>
    </row>
    <row r="248" spans="1:8" x14ac:dyDescent="0.25">
      <c r="A248" s="378"/>
      <c r="B248" s="125" t="s">
        <v>804</v>
      </c>
      <c r="C248" s="125" t="s">
        <v>878</v>
      </c>
      <c r="D248" s="117">
        <f>D246+1</f>
        <v>203</v>
      </c>
      <c r="E248" s="126">
        <f>G248</f>
        <v>100</v>
      </c>
      <c r="F248" s="118" t="s">
        <v>886</v>
      </c>
      <c r="G248" s="115">
        <f>G247</f>
        <v>100</v>
      </c>
    </row>
    <row r="249" spans="1:8" x14ac:dyDescent="0.25">
      <c r="A249" s="331"/>
      <c r="B249" s="186" t="s">
        <v>802</v>
      </c>
      <c r="C249" s="123"/>
      <c r="D249" s="339"/>
      <c r="E249" s="118"/>
      <c r="F249" s="118"/>
      <c r="G249" s="9"/>
    </row>
    <row r="250" spans="1:8" x14ac:dyDescent="0.25">
      <c r="A250" s="376">
        <f>A234+1</f>
        <v>327</v>
      </c>
      <c r="B250" s="123" t="s">
        <v>879</v>
      </c>
      <c r="C250" s="123" t="s">
        <v>881</v>
      </c>
      <c r="D250" s="117">
        <f>D248+1</f>
        <v>204</v>
      </c>
      <c r="E250" s="118">
        <f>G250</f>
        <v>0</v>
      </c>
      <c r="F250" s="118" t="s">
        <v>636</v>
      </c>
      <c r="G250" s="9">
        <v>0</v>
      </c>
      <c r="H250" s="89"/>
    </row>
    <row r="251" spans="1:8" x14ac:dyDescent="0.25">
      <c r="A251" s="378"/>
      <c r="B251" s="123" t="s">
        <v>880</v>
      </c>
      <c r="C251" s="123" t="s">
        <v>882</v>
      </c>
      <c r="D251" s="117">
        <f>D250+1</f>
        <v>205</v>
      </c>
      <c r="E251" s="118">
        <f>G251</f>
        <v>0</v>
      </c>
      <c r="F251" s="118" t="s">
        <v>636</v>
      </c>
      <c r="G251" s="9">
        <v>0</v>
      </c>
      <c r="H251" s="89"/>
    </row>
    <row r="252" spans="1:8" x14ac:dyDescent="0.25">
      <c r="A252" s="395" t="s">
        <v>632</v>
      </c>
      <c r="B252" s="396"/>
      <c r="C252" s="397"/>
      <c r="D252" s="339"/>
      <c r="E252" s="118"/>
      <c r="F252" s="118"/>
      <c r="G252" s="9"/>
    </row>
    <row r="253" spans="1:8" x14ac:dyDescent="0.25">
      <c r="A253" s="332"/>
      <c r="B253" s="189" t="s">
        <v>633</v>
      </c>
      <c r="C253" s="185"/>
      <c r="D253" s="339"/>
      <c r="E253" s="118"/>
      <c r="F253" s="118"/>
      <c r="G253" s="9"/>
    </row>
    <row r="254" spans="1:8" x14ac:dyDescent="0.25">
      <c r="A254" s="376">
        <f>A250+1</f>
        <v>328</v>
      </c>
      <c r="B254" s="123" t="s">
        <v>75</v>
      </c>
      <c r="C254" s="123" t="s">
        <v>372</v>
      </c>
      <c r="D254" s="117">
        <f>D251+1</f>
        <v>206</v>
      </c>
      <c r="E254" s="118">
        <f t="shared" si="26"/>
        <v>6</v>
      </c>
      <c r="F254" s="118" t="s">
        <v>628</v>
      </c>
      <c r="G254" s="9">
        <v>6</v>
      </c>
      <c r="H254" s="89"/>
    </row>
    <row r="255" spans="1:8" x14ac:dyDescent="0.25">
      <c r="A255" s="377"/>
      <c r="B255" s="123" t="s">
        <v>76</v>
      </c>
      <c r="C255" s="123" t="s">
        <v>373</v>
      </c>
      <c r="D255" s="117">
        <f>D254+1</f>
        <v>207</v>
      </c>
      <c r="E255" s="118">
        <f t="shared" si="26"/>
        <v>42</v>
      </c>
      <c r="F255" s="118" t="s">
        <v>612</v>
      </c>
      <c r="G255" s="9">
        <v>42</v>
      </c>
      <c r="H255" s="89"/>
    </row>
    <row r="256" spans="1:8" x14ac:dyDescent="0.25">
      <c r="A256" s="377"/>
      <c r="B256" s="123" t="s">
        <v>77</v>
      </c>
      <c r="C256" s="123" t="s">
        <v>374</v>
      </c>
      <c r="D256" s="117">
        <f t="shared" ref="D256:D265" si="35">D255+1</f>
        <v>208</v>
      </c>
      <c r="E256" s="126">
        <f t="shared" si="26"/>
        <v>1000</v>
      </c>
      <c r="F256" s="118" t="s">
        <v>623</v>
      </c>
      <c r="G256" s="325">
        <v>1000</v>
      </c>
      <c r="H256" s="89"/>
    </row>
    <row r="257" spans="1:8" x14ac:dyDescent="0.25">
      <c r="A257" s="378"/>
      <c r="B257" s="123" t="s">
        <v>1743</v>
      </c>
      <c r="C257" s="123" t="s">
        <v>375</v>
      </c>
      <c r="D257" s="117">
        <f t="shared" si="35"/>
        <v>209</v>
      </c>
      <c r="E257" s="118">
        <f t="shared" si="26"/>
        <v>5</v>
      </c>
      <c r="F257" s="118" t="s">
        <v>622</v>
      </c>
      <c r="G257" s="12">
        <v>5</v>
      </c>
      <c r="H257" s="89"/>
    </row>
    <row r="258" spans="1:8" x14ac:dyDescent="0.25">
      <c r="A258" s="376">
        <f>A254+1</f>
        <v>329</v>
      </c>
      <c r="B258" s="123" t="s">
        <v>78</v>
      </c>
      <c r="C258" s="123" t="s">
        <v>376</v>
      </c>
      <c r="D258" s="117">
        <f t="shared" si="35"/>
        <v>210</v>
      </c>
      <c r="E258" s="118">
        <f t="shared" si="26"/>
        <v>2</v>
      </c>
      <c r="F258" s="118" t="s">
        <v>628</v>
      </c>
      <c r="G258" s="9">
        <v>2</v>
      </c>
      <c r="H258" s="89"/>
    </row>
    <row r="259" spans="1:8" x14ac:dyDescent="0.25">
      <c r="A259" s="377"/>
      <c r="B259" s="123" t="s">
        <v>79</v>
      </c>
      <c r="C259" s="123" t="s">
        <v>377</v>
      </c>
      <c r="D259" s="117">
        <f t="shared" si="35"/>
        <v>211</v>
      </c>
      <c r="E259" s="118">
        <f t="shared" si="26"/>
        <v>22</v>
      </c>
      <c r="F259" s="118" t="s">
        <v>612</v>
      </c>
      <c r="G259" s="9">
        <v>22</v>
      </c>
      <c r="H259" s="89"/>
    </row>
    <row r="260" spans="1:8" x14ac:dyDescent="0.25">
      <c r="A260" s="377"/>
      <c r="B260" s="123" t="s">
        <v>80</v>
      </c>
      <c r="C260" s="123" t="s">
        <v>378</v>
      </c>
      <c r="D260" s="117">
        <f t="shared" si="35"/>
        <v>212</v>
      </c>
      <c r="E260" s="126">
        <f t="shared" si="26"/>
        <v>2000</v>
      </c>
      <c r="F260" s="118" t="s">
        <v>623</v>
      </c>
      <c r="G260" s="325">
        <v>2000</v>
      </c>
      <c r="H260" s="89"/>
    </row>
    <row r="261" spans="1:8" x14ac:dyDescent="0.25">
      <c r="A261" s="378"/>
      <c r="B261" s="123" t="s">
        <v>634</v>
      </c>
      <c r="C261" s="123" t="s">
        <v>379</v>
      </c>
      <c r="D261" s="117">
        <f t="shared" si="35"/>
        <v>213</v>
      </c>
      <c r="E261" s="118">
        <f t="shared" si="26"/>
        <v>10</v>
      </c>
      <c r="F261" s="118" t="s">
        <v>622</v>
      </c>
      <c r="G261" s="12">
        <v>10</v>
      </c>
      <c r="H261" s="89"/>
    </row>
    <row r="262" spans="1:8" x14ac:dyDescent="0.25">
      <c r="A262" s="376">
        <f>A258+1</f>
        <v>330</v>
      </c>
      <c r="B262" s="123" t="s">
        <v>81</v>
      </c>
      <c r="C262" s="123" t="s">
        <v>380</v>
      </c>
      <c r="D262" s="117">
        <f t="shared" si="35"/>
        <v>214</v>
      </c>
      <c r="E262" s="118">
        <f t="shared" si="26"/>
        <v>0</v>
      </c>
      <c r="F262" s="118" t="s">
        <v>628</v>
      </c>
      <c r="G262" s="9">
        <v>0</v>
      </c>
      <c r="H262" s="89"/>
    </row>
    <row r="263" spans="1:8" x14ac:dyDescent="0.25">
      <c r="A263" s="377"/>
      <c r="B263" s="123" t="s">
        <v>82</v>
      </c>
      <c r="C263" s="123" t="s">
        <v>381</v>
      </c>
      <c r="D263" s="117">
        <f t="shared" si="35"/>
        <v>215</v>
      </c>
      <c r="E263" s="118">
        <f t="shared" si="26"/>
        <v>0</v>
      </c>
      <c r="F263" s="118" t="s">
        <v>612</v>
      </c>
      <c r="G263" s="9">
        <v>0</v>
      </c>
      <c r="H263" s="89"/>
    </row>
    <row r="264" spans="1:8" x14ac:dyDescent="0.25">
      <c r="A264" s="377"/>
      <c r="B264" s="123" t="s">
        <v>83</v>
      </c>
      <c r="C264" s="123" t="s">
        <v>382</v>
      </c>
      <c r="D264" s="117">
        <f t="shared" si="35"/>
        <v>216</v>
      </c>
      <c r="E264" s="126">
        <f t="shared" si="26"/>
        <v>0</v>
      </c>
      <c r="F264" s="118" t="s">
        <v>623</v>
      </c>
      <c r="G264" s="325">
        <v>0</v>
      </c>
      <c r="H264" s="89"/>
    </row>
    <row r="265" spans="1:8" x14ac:dyDescent="0.25">
      <c r="A265" s="378"/>
      <c r="B265" s="123" t="s">
        <v>695</v>
      </c>
      <c r="C265" s="123" t="s">
        <v>383</v>
      </c>
      <c r="D265" s="117">
        <f t="shared" si="35"/>
        <v>217</v>
      </c>
      <c r="E265" s="118">
        <f t="shared" si="26"/>
        <v>0</v>
      </c>
      <c r="F265" s="118" t="s">
        <v>622</v>
      </c>
      <c r="G265" s="12">
        <v>0</v>
      </c>
      <c r="H265" s="89"/>
    </row>
    <row r="266" spans="1:8" x14ac:dyDescent="0.25">
      <c r="A266" s="104"/>
      <c r="B266" s="183" t="s">
        <v>635</v>
      </c>
      <c r="C266" s="185"/>
      <c r="D266" s="339"/>
      <c r="E266" s="118"/>
      <c r="F266" s="118"/>
      <c r="G266" s="9"/>
    </row>
    <row r="267" spans="1:8" x14ac:dyDescent="0.25">
      <c r="A267" s="104">
        <f>A262+1</f>
        <v>331</v>
      </c>
      <c r="B267" s="123" t="s">
        <v>84</v>
      </c>
      <c r="C267" s="123" t="s">
        <v>384</v>
      </c>
      <c r="D267" s="117">
        <f>D265+1</f>
        <v>218</v>
      </c>
      <c r="E267" s="118">
        <f t="shared" si="26"/>
        <v>3</v>
      </c>
      <c r="F267" s="118"/>
      <c r="G267" s="9">
        <v>3</v>
      </c>
      <c r="H267" s="89"/>
    </row>
    <row r="268" spans="1:8" x14ac:dyDescent="0.25">
      <c r="A268" s="376">
        <f>A267+1</f>
        <v>332</v>
      </c>
      <c r="B268" s="123" t="s">
        <v>85</v>
      </c>
      <c r="C268" s="123" t="s">
        <v>385</v>
      </c>
      <c r="D268" s="117">
        <f>D267+1</f>
        <v>219</v>
      </c>
      <c r="E268" s="118">
        <f t="shared" si="26"/>
        <v>0</v>
      </c>
      <c r="F268" s="118"/>
      <c r="G268" s="9">
        <v>0</v>
      </c>
      <c r="H268" s="89"/>
    </row>
    <row r="269" spans="1:8" x14ac:dyDescent="0.25">
      <c r="A269" s="378"/>
      <c r="B269" s="123" t="s">
        <v>86</v>
      </c>
      <c r="C269" s="123" t="s">
        <v>386</v>
      </c>
      <c r="D269" s="117">
        <f t="shared" ref="D269:D271" si="36">D268+1</f>
        <v>220</v>
      </c>
      <c r="E269" s="118">
        <f t="shared" si="26"/>
        <v>0</v>
      </c>
      <c r="F269" s="118" t="s">
        <v>636</v>
      </c>
      <c r="G269" s="9">
        <v>0</v>
      </c>
      <c r="H269" s="89"/>
    </row>
    <row r="270" spans="1:8" x14ac:dyDescent="0.25">
      <c r="A270" s="376">
        <f>A268+1</f>
        <v>333</v>
      </c>
      <c r="B270" s="123" t="s">
        <v>87</v>
      </c>
      <c r="C270" s="123" t="s">
        <v>387</v>
      </c>
      <c r="D270" s="117">
        <f t="shared" si="36"/>
        <v>221</v>
      </c>
      <c r="E270" s="118">
        <f t="shared" si="26"/>
        <v>0</v>
      </c>
      <c r="F270" s="118"/>
      <c r="G270" s="9">
        <v>0</v>
      </c>
      <c r="H270" s="89"/>
    </row>
    <row r="271" spans="1:8" x14ac:dyDescent="0.25">
      <c r="A271" s="378"/>
      <c r="B271" s="123" t="s">
        <v>88</v>
      </c>
      <c r="C271" s="123" t="s">
        <v>388</v>
      </c>
      <c r="D271" s="117">
        <f t="shared" si="36"/>
        <v>222</v>
      </c>
      <c r="E271" s="118">
        <f t="shared" si="26"/>
        <v>0</v>
      </c>
      <c r="F271" s="118" t="s">
        <v>636</v>
      </c>
      <c r="G271" s="9">
        <v>0</v>
      </c>
      <c r="H271" s="89"/>
    </row>
    <row r="272" spans="1:8" x14ac:dyDescent="0.25">
      <c r="A272" s="104"/>
      <c r="B272" s="183" t="s">
        <v>1039</v>
      </c>
      <c r="C272" s="185"/>
      <c r="D272" s="339"/>
      <c r="E272" s="118"/>
      <c r="F272" s="118"/>
      <c r="G272" s="9"/>
    </row>
    <row r="273" spans="1:9" x14ac:dyDescent="0.25">
      <c r="A273" s="376">
        <f>A270+1</f>
        <v>334</v>
      </c>
      <c r="B273" s="123" t="s">
        <v>89</v>
      </c>
      <c r="C273" s="123" t="s">
        <v>389</v>
      </c>
      <c r="D273" s="117">
        <f>D271+1</f>
        <v>223</v>
      </c>
      <c r="E273" s="118">
        <f t="shared" si="26"/>
        <v>1</v>
      </c>
      <c r="F273" s="118"/>
      <c r="G273" s="9">
        <v>1</v>
      </c>
      <c r="H273" s="89"/>
    </row>
    <row r="274" spans="1:9" s="344" customFormat="1" x14ac:dyDescent="0.25">
      <c r="A274" s="386"/>
      <c r="B274" s="123" t="s">
        <v>1406</v>
      </c>
      <c r="C274" s="123" t="s">
        <v>1411</v>
      </c>
      <c r="D274" s="117">
        <f>D273+1</f>
        <v>224</v>
      </c>
      <c r="E274" s="118">
        <f t="shared" si="26"/>
        <v>3</v>
      </c>
      <c r="F274" s="118" t="s">
        <v>628</v>
      </c>
      <c r="G274" s="9">
        <v>3</v>
      </c>
      <c r="H274" s="89"/>
      <c r="I274" s="373" t="s">
        <v>1697</v>
      </c>
    </row>
    <row r="275" spans="1:9" s="344" customFormat="1" x14ac:dyDescent="0.25">
      <c r="A275" s="386"/>
      <c r="B275" s="123" t="s">
        <v>1407</v>
      </c>
      <c r="C275" s="123" t="s">
        <v>1412</v>
      </c>
      <c r="D275" s="117">
        <f t="shared" ref="D275:D282" si="37">D274+1</f>
        <v>225</v>
      </c>
      <c r="E275" s="118">
        <f t="shared" si="26"/>
        <v>4</v>
      </c>
      <c r="F275" s="118" t="s">
        <v>628</v>
      </c>
      <c r="G275" s="9">
        <v>4</v>
      </c>
      <c r="H275" s="89"/>
      <c r="I275" s="373" t="s">
        <v>1697</v>
      </c>
    </row>
    <row r="276" spans="1:9" x14ac:dyDescent="0.25">
      <c r="A276" s="377"/>
      <c r="B276" s="123" t="s">
        <v>1408</v>
      </c>
      <c r="C276" s="123" t="s">
        <v>390</v>
      </c>
      <c r="D276" s="117">
        <f t="shared" si="37"/>
        <v>226</v>
      </c>
      <c r="E276" s="126">
        <f t="shared" si="26"/>
        <v>2000</v>
      </c>
      <c r="F276" s="118" t="s">
        <v>623</v>
      </c>
      <c r="G276" s="325">
        <v>2000</v>
      </c>
      <c r="H276" s="89"/>
    </row>
    <row r="277" spans="1:9" x14ac:dyDescent="0.25">
      <c r="A277" s="377"/>
      <c r="B277" s="123" t="s">
        <v>1409</v>
      </c>
      <c r="C277" s="123" t="s">
        <v>1038</v>
      </c>
      <c r="D277" s="117">
        <f t="shared" si="37"/>
        <v>227</v>
      </c>
      <c r="E277" s="118">
        <f t="shared" ref="E277" si="38">G277</f>
        <v>10</v>
      </c>
      <c r="F277" s="118" t="s">
        <v>622</v>
      </c>
      <c r="G277" s="9">
        <v>10</v>
      </c>
      <c r="H277" s="89"/>
    </row>
    <row r="278" spans="1:9" x14ac:dyDescent="0.25">
      <c r="A278" s="378"/>
      <c r="B278" s="123" t="s">
        <v>1410</v>
      </c>
      <c r="C278" s="123" t="s">
        <v>391</v>
      </c>
      <c r="D278" s="117">
        <f t="shared" si="37"/>
        <v>228</v>
      </c>
      <c r="E278" s="118">
        <f t="shared" si="26"/>
        <v>19</v>
      </c>
      <c r="F278" s="118" t="s">
        <v>612</v>
      </c>
      <c r="G278" s="9">
        <v>19</v>
      </c>
      <c r="H278" s="89"/>
    </row>
    <row r="279" spans="1:9" x14ac:dyDescent="0.25">
      <c r="A279" s="104">
        <f>A273+1</f>
        <v>335</v>
      </c>
      <c r="B279" s="123" t="s">
        <v>90</v>
      </c>
      <c r="C279" s="123" t="s">
        <v>392</v>
      </c>
      <c r="D279" s="117">
        <f t="shared" si="37"/>
        <v>229</v>
      </c>
      <c r="E279" s="118">
        <f t="shared" si="26"/>
        <v>0</v>
      </c>
      <c r="F279" s="118"/>
      <c r="G279" s="9">
        <v>0</v>
      </c>
      <c r="H279" s="89"/>
    </row>
    <row r="280" spans="1:9" x14ac:dyDescent="0.25">
      <c r="A280" s="376">
        <f>A279+1</f>
        <v>336</v>
      </c>
      <c r="B280" s="123" t="s">
        <v>91</v>
      </c>
      <c r="C280" s="123" t="s">
        <v>393</v>
      </c>
      <c r="D280" s="117">
        <f t="shared" si="37"/>
        <v>230</v>
      </c>
      <c r="E280" s="118">
        <f t="shared" si="26"/>
        <v>0</v>
      </c>
      <c r="F280" s="118" t="s">
        <v>628</v>
      </c>
      <c r="G280" s="9">
        <v>0</v>
      </c>
      <c r="H280" s="89"/>
    </row>
    <row r="281" spans="1:9" x14ac:dyDescent="0.25">
      <c r="A281" s="378"/>
      <c r="B281" s="123" t="s">
        <v>92</v>
      </c>
      <c r="C281" s="123" t="s">
        <v>394</v>
      </c>
      <c r="D281" s="117">
        <f t="shared" si="37"/>
        <v>231</v>
      </c>
      <c r="E281" s="118">
        <f t="shared" si="26"/>
        <v>0</v>
      </c>
      <c r="F281" s="118" t="s">
        <v>623</v>
      </c>
      <c r="G281" s="325">
        <v>0</v>
      </c>
      <c r="H281" s="89"/>
    </row>
    <row r="282" spans="1:9" x14ac:dyDescent="0.25">
      <c r="A282" s="104">
        <f>A280+1</f>
        <v>337</v>
      </c>
      <c r="B282" s="127" t="s">
        <v>993</v>
      </c>
      <c r="C282" s="123" t="s">
        <v>1034</v>
      </c>
      <c r="D282" s="117">
        <f t="shared" si="37"/>
        <v>232</v>
      </c>
      <c r="E282" s="118">
        <f>G282</f>
        <v>0</v>
      </c>
      <c r="F282" s="118"/>
      <c r="G282" s="9">
        <v>0</v>
      </c>
      <c r="H282" s="91"/>
    </row>
    <row r="283" spans="1:9" x14ac:dyDescent="0.25">
      <c r="A283" s="104"/>
      <c r="B283" s="183" t="s">
        <v>637</v>
      </c>
      <c r="C283" s="185"/>
      <c r="D283" s="339"/>
      <c r="E283" s="118"/>
      <c r="F283" s="118"/>
      <c r="G283" s="9"/>
    </row>
    <row r="284" spans="1:9" x14ac:dyDescent="0.25">
      <c r="A284" s="376">
        <f>A282+1</f>
        <v>338</v>
      </c>
      <c r="B284" s="123" t="s">
        <v>93</v>
      </c>
      <c r="C284" s="123" t="s">
        <v>395</v>
      </c>
      <c r="D284" s="117">
        <f>D282+1</f>
        <v>233</v>
      </c>
      <c r="E284" s="118">
        <f t="shared" si="26"/>
        <v>0</v>
      </c>
      <c r="F284" s="118"/>
      <c r="G284" s="9">
        <v>0</v>
      </c>
      <c r="H284" s="89"/>
    </row>
    <row r="285" spans="1:9" x14ac:dyDescent="0.25">
      <c r="A285" s="378"/>
      <c r="B285" s="123" t="s">
        <v>94</v>
      </c>
      <c r="C285" s="123" t="s">
        <v>396</v>
      </c>
      <c r="D285" s="117">
        <f>D284+1</f>
        <v>234</v>
      </c>
      <c r="E285" s="118">
        <f t="shared" si="26"/>
        <v>0</v>
      </c>
      <c r="F285" s="118"/>
      <c r="G285" s="9">
        <v>0</v>
      </c>
      <c r="H285" s="89"/>
    </row>
    <row r="286" spans="1:9" x14ac:dyDescent="0.25">
      <c r="A286" s="104"/>
      <c r="B286" s="183" t="s">
        <v>638</v>
      </c>
      <c r="C286" s="185"/>
      <c r="D286" s="339"/>
      <c r="E286" s="118"/>
      <c r="F286" s="118"/>
      <c r="G286" s="9"/>
    </row>
    <row r="287" spans="1:9" x14ac:dyDescent="0.25">
      <c r="A287" s="376">
        <f>A284+1</f>
        <v>339</v>
      </c>
      <c r="B287" s="123" t="s">
        <v>95</v>
      </c>
      <c r="C287" s="123" t="s">
        <v>397</v>
      </c>
      <c r="D287" s="117">
        <f>D285+1</f>
        <v>235</v>
      </c>
      <c r="E287" s="118">
        <f t="shared" si="26"/>
        <v>1</v>
      </c>
      <c r="F287" s="118"/>
      <c r="G287" s="9">
        <v>1</v>
      </c>
      <c r="H287" s="89"/>
    </row>
    <row r="288" spans="1:9" x14ac:dyDescent="0.25">
      <c r="A288" s="378"/>
      <c r="B288" s="123" t="s">
        <v>96</v>
      </c>
      <c r="C288" s="123" t="s">
        <v>398</v>
      </c>
      <c r="D288" s="117">
        <f>D287+1</f>
        <v>236</v>
      </c>
      <c r="E288" s="118">
        <f t="shared" si="26"/>
        <v>8</v>
      </c>
      <c r="F288" s="118" t="s">
        <v>639</v>
      </c>
      <c r="G288" s="9">
        <v>8</v>
      </c>
      <c r="H288" s="89"/>
    </row>
    <row r="289" spans="1:8" x14ac:dyDescent="0.25">
      <c r="A289" s="376">
        <f>A287+1</f>
        <v>340</v>
      </c>
      <c r="B289" s="123" t="s">
        <v>1446</v>
      </c>
      <c r="C289" s="123" t="s">
        <v>399</v>
      </c>
      <c r="D289" s="117">
        <f t="shared" ref="D289:D316" si="39">D288+1</f>
        <v>237</v>
      </c>
      <c r="E289" s="118">
        <f t="shared" si="26"/>
        <v>0</v>
      </c>
      <c r="F289" s="118"/>
      <c r="G289" s="9">
        <v>0</v>
      </c>
      <c r="H289" s="89"/>
    </row>
    <row r="290" spans="1:8" x14ac:dyDescent="0.25">
      <c r="A290" s="378"/>
      <c r="B290" s="123" t="s">
        <v>1448</v>
      </c>
      <c r="C290" s="123" t="s">
        <v>1447</v>
      </c>
      <c r="D290" s="117">
        <f t="shared" si="39"/>
        <v>238</v>
      </c>
      <c r="E290" s="118"/>
      <c r="F290" s="118"/>
      <c r="G290" s="9">
        <v>0</v>
      </c>
      <c r="H290" s="89"/>
    </row>
    <row r="291" spans="1:8" x14ac:dyDescent="0.25">
      <c r="A291" s="376">
        <f>A289+1</f>
        <v>341</v>
      </c>
      <c r="B291" s="204" t="s">
        <v>97</v>
      </c>
      <c r="C291" s="123" t="s">
        <v>400</v>
      </c>
      <c r="D291" s="117">
        <f t="shared" si="39"/>
        <v>239</v>
      </c>
      <c r="E291" s="118">
        <f t="shared" si="26"/>
        <v>1</v>
      </c>
      <c r="F291" s="118"/>
      <c r="G291" s="9">
        <v>1</v>
      </c>
      <c r="H291" s="89"/>
    </row>
    <row r="292" spans="1:8" x14ac:dyDescent="0.25">
      <c r="A292" s="377"/>
      <c r="B292" s="205"/>
      <c r="C292" s="123" t="s">
        <v>401</v>
      </c>
      <c r="D292" s="117">
        <f t="shared" si="39"/>
        <v>240</v>
      </c>
      <c r="E292" s="118">
        <f t="shared" si="26"/>
        <v>6</v>
      </c>
      <c r="F292" s="118" t="s">
        <v>639</v>
      </c>
      <c r="G292" s="9">
        <v>6</v>
      </c>
      <c r="H292" s="89"/>
    </row>
    <row r="293" spans="1:8" x14ac:dyDescent="0.25">
      <c r="A293" s="377"/>
      <c r="B293" s="204" t="s">
        <v>98</v>
      </c>
      <c r="C293" s="123" t="s">
        <v>402</v>
      </c>
      <c r="D293" s="117">
        <f t="shared" si="39"/>
        <v>241</v>
      </c>
      <c r="E293" s="118">
        <f t="shared" si="26"/>
        <v>1</v>
      </c>
      <c r="F293" s="118"/>
      <c r="G293" s="9">
        <v>1</v>
      </c>
      <c r="H293" s="89"/>
    </row>
    <row r="294" spans="1:8" x14ac:dyDescent="0.25">
      <c r="A294" s="377"/>
      <c r="B294" s="205"/>
      <c r="C294" s="123" t="s">
        <v>403</v>
      </c>
      <c r="D294" s="117">
        <f t="shared" si="39"/>
        <v>242</v>
      </c>
      <c r="E294" s="118">
        <f t="shared" si="26"/>
        <v>12</v>
      </c>
      <c r="F294" s="118" t="s">
        <v>639</v>
      </c>
      <c r="G294" s="9">
        <v>12</v>
      </c>
      <c r="H294" s="89"/>
    </row>
    <row r="295" spans="1:8" x14ac:dyDescent="0.25">
      <c r="A295" s="377"/>
      <c r="B295" s="204" t="s">
        <v>99</v>
      </c>
      <c r="C295" s="123" t="s">
        <v>404</v>
      </c>
      <c r="D295" s="117">
        <f t="shared" si="39"/>
        <v>243</v>
      </c>
      <c r="E295" s="118">
        <f t="shared" si="26"/>
        <v>0</v>
      </c>
      <c r="F295" s="118"/>
      <c r="G295" s="9">
        <v>0</v>
      </c>
      <c r="H295" s="89"/>
    </row>
    <row r="296" spans="1:8" x14ac:dyDescent="0.25">
      <c r="A296" s="377"/>
      <c r="B296" s="205"/>
      <c r="C296" s="123" t="s">
        <v>405</v>
      </c>
      <c r="D296" s="117">
        <f t="shared" si="39"/>
        <v>244</v>
      </c>
      <c r="E296" s="118">
        <f t="shared" si="26"/>
        <v>0</v>
      </c>
      <c r="F296" s="118" t="s">
        <v>639</v>
      </c>
      <c r="G296" s="9">
        <v>0</v>
      </c>
      <c r="H296" s="89"/>
    </row>
    <row r="297" spans="1:8" x14ac:dyDescent="0.25">
      <c r="A297" s="377"/>
      <c r="B297" s="204" t="s">
        <v>100</v>
      </c>
      <c r="C297" s="123" t="s">
        <v>406</v>
      </c>
      <c r="D297" s="117">
        <f t="shared" si="39"/>
        <v>245</v>
      </c>
      <c r="E297" s="118">
        <f t="shared" si="26"/>
        <v>0</v>
      </c>
      <c r="F297" s="118"/>
      <c r="G297" s="9">
        <v>0</v>
      </c>
      <c r="H297" s="89"/>
    </row>
    <row r="298" spans="1:8" x14ac:dyDescent="0.25">
      <c r="A298" s="377"/>
      <c r="B298" s="205"/>
      <c r="C298" s="123" t="s">
        <v>407</v>
      </c>
      <c r="D298" s="117">
        <f t="shared" si="39"/>
        <v>246</v>
      </c>
      <c r="E298" s="118">
        <f t="shared" si="26"/>
        <v>0</v>
      </c>
      <c r="F298" s="118" t="s">
        <v>639</v>
      </c>
      <c r="G298" s="9">
        <v>0</v>
      </c>
      <c r="H298" s="89"/>
    </row>
    <row r="299" spans="1:8" x14ac:dyDescent="0.25">
      <c r="A299" s="377"/>
      <c r="B299" s="204" t="s">
        <v>101</v>
      </c>
      <c r="C299" s="123" t="s">
        <v>408</v>
      </c>
      <c r="D299" s="117">
        <f t="shared" si="39"/>
        <v>247</v>
      </c>
      <c r="E299" s="118">
        <f t="shared" si="26"/>
        <v>1</v>
      </c>
      <c r="F299" s="118"/>
      <c r="G299" s="9">
        <v>1</v>
      </c>
      <c r="H299" s="89"/>
    </row>
    <row r="300" spans="1:8" x14ac:dyDescent="0.25">
      <c r="A300" s="377"/>
      <c r="B300" s="205"/>
      <c r="C300" s="123" t="s">
        <v>409</v>
      </c>
      <c r="D300" s="117">
        <f t="shared" si="39"/>
        <v>248</v>
      </c>
      <c r="E300" s="118">
        <f t="shared" si="26"/>
        <v>48</v>
      </c>
      <c r="F300" s="118" t="s">
        <v>639</v>
      </c>
      <c r="G300" s="9">
        <v>48</v>
      </c>
      <c r="H300" s="89"/>
    </row>
    <row r="301" spans="1:8" x14ac:dyDescent="0.25">
      <c r="A301" s="377"/>
      <c r="B301" s="204" t="s">
        <v>102</v>
      </c>
      <c r="C301" s="123" t="s">
        <v>410</v>
      </c>
      <c r="D301" s="117">
        <f t="shared" si="39"/>
        <v>249</v>
      </c>
      <c r="E301" s="118">
        <f t="shared" si="26"/>
        <v>1</v>
      </c>
      <c r="F301" s="118"/>
      <c r="G301" s="9">
        <v>1</v>
      </c>
      <c r="H301" s="89"/>
    </row>
    <row r="302" spans="1:8" x14ac:dyDescent="0.25">
      <c r="A302" s="377"/>
      <c r="B302" s="205"/>
      <c r="C302" s="123" t="s">
        <v>411</v>
      </c>
      <c r="D302" s="117">
        <f t="shared" si="39"/>
        <v>250</v>
      </c>
      <c r="E302" s="118">
        <f t="shared" si="26"/>
        <v>12</v>
      </c>
      <c r="F302" s="118" t="s">
        <v>639</v>
      </c>
      <c r="G302" s="9">
        <v>12</v>
      </c>
      <c r="H302" s="89"/>
    </row>
    <row r="303" spans="1:8" x14ac:dyDescent="0.25">
      <c r="A303" s="377"/>
      <c r="B303" s="204" t="s">
        <v>103</v>
      </c>
      <c r="C303" s="123" t="s">
        <v>412</v>
      </c>
      <c r="D303" s="117">
        <f t="shared" si="39"/>
        <v>251</v>
      </c>
      <c r="E303" s="118">
        <f t="shared" si="26"/>
        <v>1</v>
      </c>
      <c r="F303" s="118"/>
      <c r="G303" s="9">
        <v>1</v>
      </c>
      <c r="H303" s="89"/>
    </row>
    <row r="304" spans="1:8" x14ac:dyDescent="0.25">
      <c r="A304" s="377"/>
      <c r="B304" s="205"/>
      <c r="C304" s="123" t="s">
        <v>413</v>
      </c>
      <c r="D304" s="117">
        <f t="shared" si="39"/>
        <v>252</v>
      </c>
      <c r="E304" s="118">
        <f t="shared" si="26"/>
        <v>24</v>
      </c>
      <c r="F304" s="118" t="s">
        <v>639</v>
      </c>
      <c r="G304" s="9">
        <v>24</v>
      </c>
      <c r="H304" s="89"/>
    </row>
    <row r="305" spans="1:8" x14ac:dyDescent="0.25">
      <c r="A305" s="377"/>
      <c r="B305" s="204" t="s">
        <v>104</v>
      </c>
      <c r="C305" s="123" t="s">
        <v>414</v>
      </c>
      <c r="D305" s="117">
        <f t="shared" si="39"/>
        <v>253</v>
      </c>
      <c r="E305" s="118">
        <f t="shared" si="26"/>
        <v>1</v>
      </c>
      <c r="F305" s="118"/>
      <c r="G305" s="9">
        <v>1</v>
      </c>
      <c r="H305" s="89"/>
    </row>
    <row r="306" spans="1:8" x14ac:dyDescent="0.25">
      <c r="A306" s="377"/>
      <c r="B306" s="205"/>
      <c r="C306" s="123" t="s">
        <v>415</v>
      </c>
      <c r="D306" s="117">
        <f t="shared" si="39"/>
        <v>254</v>
      </c>
      <c r="E306" s="118">
        <f t="shared" si="26"/>
        <v>0</v>
      </c>
      <c r="F306" s="118" t="s">
        <v>639</v>
      </c>
      <c r="G306" s="9">
        <v>0</v>
      </c>
      <c r="H306" s="89"/>
    </row>
    <row r="307" spans="1:8" x14ac:dyDescent="0.25">
      <c r="A307" s="377"/>
      <c r="B307" s="204" t="s">
        <v>105</v>
      </c>
      <c r="C307" s="123" t="s">
        <v>416</v>
      </c>
      <c r="D307" s="117">
        <f t="shared" si="39"/>
        <v>255</v>
      </c>
      <c r="E307" s="118">
        <f t="shared" ref="E307:E378" si="40">G307</f>
        <v>1</v>
      </c>
      <c r="F307" s="118"/>
      <c r="G307" s="9">
        <v>1</v>
      </c>
      <c r="H307" s="89"/>
    </row>
    <row r="308" spans="1:8" x14ac:dyDescent="0.25">
      <c r="A308" s="377"/>
      <c r="B308" s="205"/>
      <c r="C308" s="123" t="s">
        <v>417</v>
      </c>
      <c r="D308" s="117">
        <f t="shared" si="39"/>
        <v>256</v>
      </c>
      <c r="E308" s="118">
        <f t="shared" si="40"/>
        <v>12</v>
      </c>
      <c r="F308" s="118" t="s">
        <v>639</v>
      </c>
      <c r="G308" s="9">
        <v>12</v>
      </c>
      <c r="H308" s="89"/>
    </row>
    <row r="309" spans="1:8" x14ac:dyDescent="0.25">
      <c r="A309" s="377"/>
      <c r="B309" s="204" t="s">
        <v>106</v>
      </c>
      <c r="C309" s="123" t="s">
        <v>418</v>
      </c>
      <c r="D309" s="117">
        <f t="shared" si="39"/>
        <v>257</v>
      </c>
      <c r="E309" s="118">
        <f t="shared" si="40"/>
        <v>1</v>
      </c>
      <c r="F309" s="118"/>
      <c r="G309" s="9">
        <v>1</v>
      </c>
      <c r="H309" s="89"/>
    </row>
    <row r="310" spans="1:8" x14ac:dyDescent="0.25">
      <c r="A310" s="377"/>
      <c r="B310" s="205"/>
      <c r="C310" s="123" t="s">
        <v>419</v>
      </c>
      <c r="D310" s="117">
        <f t="shared" si="39"/>
        <v>258</v>
      </c>
      <c r="E310" s="118">
        <f t="shared" si="40"/>
        <v>48</v>
      </c>
      <c r="F310" s="118" t="s">
        <v>639</v>
      </c>
      <c r="G310" s="9">
        <v>48</v>
      </c>
      <c r="H310" s="89"/>
    </row>
    <row r="311" spans="1:8" x14ac:dyDescent="0.25">
      <c r="A311" s="377"/>
      <c r="B311" s="204" t="s">
        <v>107</v>
      </c>
      <c r="C311" s="123" t="s">
        <v>420</v>
      </c>
      <c r="D311" s="117">
        <f t="shared" si="39"/>
        <v>259</v>
      </c>
      <c r="E311" s="118">
        <f t="shared" si="40"/>
        <v>0</v>
      </c>
      <c r="F311" s="118"/>
      <c r="G311" s="9">
        <v>0</v>
      </c>
      <c r="H311" s="89"/>
    </row>
    <row r="312" spans="1:8" x14ac:dyDescent="0.25">
      <c r="A312" s="377"/>
      <c r="B312" s="161"/>
      <c r="C312" s="123" t="s">
        <v>421</v>
      </c>
      <c r="D312" s="117">
        <f t="shared" si="39"/>
        <v>260</v>
      </c>
      <c r="E312" s="118" t="str">
        <f t="shared" si="40"/>
        <v>-</v>
      </c>
      <c r="F312" s="118"/>
      <c r="G312" s="9" t="s">
        <v>1344</v>
      </c>
      <c r="H312" s="89"/>
    </row>
    <row r="313" spans="1:8" x14ac:dyDescent="0.25">
      <c r="A313" s="378"/>
      <c r="B313" s="205"/>
      <c r="C313" s="123" t="s">
        <v>422</v>
      </c>
      <c r="D313" s="117">
        <f t="shared" si="39"/>
        <v>261</v>
      </c>
      <c r="E313" s="118">
        <f t="shared" si="40"/>
        <v>0</v>
      </c>
      <c r="F313" s="118" t="s">
        <v>639</v>
      </c>
      <c r="G313" s="9">
        <v>0</v>
      </c>
      <c r="H313" s="89"/>
    </row>
    <row r="314" spans="1:8" x14ac:dyDescent="0.25">
      <c r="A314" s="376">
        <f>A291+1</f>
        <v>342</v>
      </c>
      <c r="B314" s="123" t="s">
        <v>108</v>
      </c>
      <c r="C314" s="123" t="s">
        <v>423</v>
      </c>
      <c r="D314" s="117">
        <f t="shared" si="39"/>
        <v>262</v>
      </c>
      <c r="E314" s="118">
        <f t="shared" si="40"/>
        <v>1</v>
      </c>
      <c r="F314" s="118"/>
      <c r="G314" s="9">
        <v>1</v>
      </c>
      <c r="H314" s="89"/>
    </row>
    <row r="315" spans="1:8" x14ac:dyDescent="0.25">
      <c r="A315" s="377"/>
      <c r="B315" s="123" t="s">
        <v>109</v>
      </c>
      <c r="C315" s="123" t="s">
        <v>424</v>
      </c>
      <c r="D315" s="117">
        <f t="shared" si="39"/>
        <v>263</v>
      </c>
      <c r="E315" s="118">
        <f t="shared" si="40"/>
        <v>6</v>
      </c>
      <c r="F315" s="118" t="s">
        <v>639</v>
      </c>
      <c r="G315" s="9">
        <v>6</v>
      </c>
      <c r="H315" s="89"/>
    </row>
    <row r="316" spans="1:8" x14ac:dyDescent="0.25">
      <c r="A316" s="378"/>
      <c r="B316" s="123" t="s">
        <v>110</v>
      </c>
      <c r="C316" s="123" t="s">
        <v>425</v>
      </c>
      <c r="D316" s="117">
        <f t="shared" si="39"/>
        <v>264</v>
      </c>
      <c r="E316" s="118">
        <f t="shared" si="40"/>
        <v>1</v>
      </c>
      <c r="F316" s="118"/>
      <c r="G316" s="9">
        <v>1</v>
      </c>
      <c r="H316" s="89"/>
    </row>
    <row r="317" spans="1:8" x14ac:dyDescent="0.25">
      <c r="A317" s="376">
        <f>A314+1</f>
        <v>343</v>
      </c>
      <c r="B317" s="79" t="s">
        <v>1124</v>
      </c>
      <c r="C317" s="79" t="s">
        <v>1125</v>
      </c>
      <c r="D317" s="87" t="s">
        <v>1123</v>
      </c>
      <c r="E317" s="18">
        <f t="shared" si="40"/>
        <v>1</v>
      </c>
      <c r="F317" s="18"/>
      <c r="G317" s="9">
        <f>SUM(G319:G324)</f>
        <v>1</v>
      </c>
      <c r="H317" s="89"/>
    </row>
    <row r="318" spans="1:8" x14ac:dyDescent="0.25">
      <c r="A318" s="377"/>
      <c r="B318" s="125" t="s">
        <v>1124</v>
      </c>
      <c r="C318" s="125" t="s">
        <v>1125</v>
      </c>
      <c r="D318" s="117">
        <f>D316+1</f>
        <v>265</v>
      </c>
      <c r="E318" s="207">
        <f t="shared" si="40"/>
        <v>1</v>
      </c>
      <c r="F318" s="207" t="s">
        <v>628</v>
      </c>
      <c r="G318" s="209">
        <f>G317</f>
        <v>1</v>
      </c>
      <c r="H318" s="89"/>
    </row>
    <row r="319" spans="1:8" x14ac:dyDescent="0.25">
      <c r="A319" s="377"/>
      <c r="B319" s="123" t="s">
        <v>995</v>
      </c>
      <c r="C319" s="123" t="s">
        <v>1024</v>
      </c>
      <c r="D319" s="117">
        <f>D318+1</f>
        <v>266</v>
      </c>
      <c r="E319" s="118">
        <f t="shared" ref="E319:E324" si="41">G319</f>
        <v>1</v>
      </c>
      <c r="F319" s="118" t="s">
        <v>628</v>
      </c>
      <c r="G319" s="9">
        <v>1</v>
      </c>
      <c r="H319" s="91"/>
    </row>
    <row r="320" spans="1:8" x14ac:dyDescent="0.25">
      <c r="A320" s="377"/>
      <c r="B320" s="123" t="s">
        <v>996</v>
      </c>
      <c r="C320" s="123" t="s">
        <v>1025</v>
      </c>
      <c r="D320" s="117">
        <f t="shared" ref="D320:D352" si="42">D319+1</f>
        <v>267</v>
      </c>
      <c r="E320" s="118">
        <f t="shared" si="41"/>
        <v>0</v>
      </c>
      <c r="F320" s="118" t="s">
        <v>628</v>
      </c>
      <c r="G320" s="9">
        <v>0</v>
      </c>
      <c r="H320" s="91"/>
    </row>
    <row r="321" spans="1:8" x14ac:dyDescent="0.25">
      <c r="A321" s="377"/>
      <c r="B321" s="123" t="s">
        <v>997</v>
      </c>
      <c r="C321" s="123" t="s">
        <v>1026</v>
      </c>
      <c r="D321" s="117">
        <f t="shared" si="42"/>
        <v>268</v>
      </c>
      <c r="E321" s="118">
        <f t="shared" si="41"/>
        <v>0</v>
      </c>
      <c r="F321" s="118" t="s">
        <v>628</v>
      </c>
      <c r="G321" s="9">
        <v>0</v>
      </c>
      <c r="H321" s="91"/>
    </row>
    <row r="322" spans="1:8" x14ac:dyDescent="0.25">
      <c r="A322" s="377"/>
      <c r="B322" s="123" t="s">
        <v>998</v>
      </c>
      <c r="C322" s="123" t="s">
        <v>1027</v>
      </c>
      <c r="D322" s="117">
        <f t="shared" si="42"/>
        <v>269</v>
      </c>
      <c r="E322" s="118">
        <f t="shared" si="41"/>
        <v>0</v>
      </c>
      <c r="F322" s="118" t="s">
        <v>628</v>
      </c>
      <c r="G322" s="9">
        <v>0</v>
      </c>
      <c r="H322" s="91"/>
    </row>
    <row r="323" spans="1:8" x14ac:dyDescent="0.25">
      <c r="A323" s="377"/>
      <c r="B323" s="123" t="s">
        <v>999</v>
      </c>
      <c r="C323" s="123" t="s">
        <v>1028</v>
      </c>
      <c r="D323" s="117">
        <f t="shared" si="42"/>
        <v>270</v>
      </c>
      <c r="E323" s="118">
        <f t="shared" si="41"/>
        <v>0</v>
      </c>
      <c r="F323" s="118" t="s">
        <v>628</v>
      </c>
      <c r="G323" s="9">
        <v>0</v>
      </c>
      <c r="H323" s="91"/>
    </row>
    <row r="324" spans="1:8" x14ac:dyDescent="0.25">
      <c r="A324" s="377"/>
      <c r="B324" s="123" t="s">
        <v>1000</v>
      </c>
      <c r="C324" s="123" t="s">
        <v>1029</v>
      </c>
      <c r="D324" s="117">
        <f t="shared" si="42"/>
        <v>271</v>
      </c>
      <c r="E324" s="118">
        <f t="shared" si="41"/>
        <v>0</v>
      </c>
      <c r="F324" s="118" t="s">
        <v>628</v>
      </c>
      <c r="G324" s="9">
        <v>0</v>
      </c>
      <c r="H324" s="91"/>
    </row>
    <row r="325" spans="1:8" x14ac:dyDescent="0.25">
      <c r="A325" s="377"/>
      <c r="B325" s="123" t="s">
        <v>1126</v>
      </c>
      <c r="C325" s="123" t="s">
        <v>1127</v>
      </c>
      <c r="D325" s="117">
        <f t="shared" si="42"/>
        <v>272</v>
      </c>
      <c r="E325" s="118" t="str">
        <f>G325</f>
        <v>VOLLEY</v>
      </c>
      <c r="F325" s="118"/>
      <c r="G325" s="9" t="s">
        <v>1360</v>
      </c>
      <c r="H325" s="91"/>
    </row>
    <row r="326" spans="1:8" x14ac:dyDescent="0.25">
      <c r="A326" s="377"/>
      <c r="B326" s="123" t="s">
        <v>111</v>
      </c>
      <c r="C326" s="123" t="s">
        <v>426</v>
      </c>
      <c r="D326" s="117">
        <f t="shared" si="42"/>
        <v>273</v>
      </c>
      <c r="E326" s="118">
        <f t="shared" si="40"/>
        <v>1</v>
      </c>
      <c r="F326" s="118"/>
      <c r="G326" s="9">
        <v>1</v>
      </c>
      <c r="H326" s="89"/>
    </row>
    <row r="327" spans="1:8" x14ac:dyDescent="0.25">
      <c r="A327" s="378"/>
      <c r="B327" s="123" t="s">
        <v>887</v>
      </c>
      <c r="C327" s="123" t="s">
        <v>1035</v>
      </c>
      <c r="D327" s="117">
        <f t="shared" si="42"/>
        <v>274</v>
      </c>
      <c r="E327" s="118">
        <f t="shared" si="40"/>
        <v>9</v>
      </c>
      <c r="F327" s="118" t="s">
        <v>640</v>
      </c>
      <c r="G327" s="9">
        <v>9</v>
      </c>
      <c r="H327" s="89"/>
    </row>
    <row r="328" spans="1:8" x14ac:dyDescent="0.25">
      <c r="A328" s="104">
        <f>A317+1</f>
        <v>344</v>
      </c>
      <c r="B328" s="123" t="s">
        <v>112</v>
      </c>
      <c r="C328" s="123" t="s">
        <v>427</v>
      </c>
      <c r="D328" s="117">
        <f t="shared" si="42"/>
        <v>275</v>
      </c>
      <c r="E328" s="118">
        <f t="shared" si="40"/>
        <v>3</v>
      </c>
      <c r="F328" s="118" t="s">
        <v>1744</v>
      </c>
      <c r="G328" s="9">
        <v>3</v>
      </c>
      <c r="H328" s="89"/>
    </row>
    <row r="329" spans="1:8" x14ac:dyDescent="0.25">
      <c r="A329" s="104">
        <f>A328+1</f>
        <v>345</v>
      </c>
      <c r="B329" s="123" t="s">
        <v>1001</v>
      </c>
      <c r="C329" s="123" t="s">
        <v>428</v>
      </c>
      <c r="D329" s="117">
        <f t="shared" si="42"/>
        <v>276</v>
      </c>
      <c r="E329" s="118">
        <f t="shared" si="40"/>
        <v>3</v>
      </c>
      <c r="F329" s="118" t="s">
        <v>1745</v>
      </c>
      <c r="G329" s="9">
        <v>3</v>
      </c>
      <c r="H329" s="89"/>
    </row>
    <row r="330" spans="1:8" x14ac:dyDescent="0.25">
      <c r="A330" s="376">
        <f>A329+1</f>
        <v>346</v>
      </c>
      <c r="B330" s="123" t="s">
        <v>113</v>
      </c>
      <c r="C330" s="123" t="s">
        <v>429</v>
      </c>
      <c r="D330" s="117">
        <f t="shared" si="42"/>
        <v>277</v>
      </c>
      <c r="E330" s="118">
        <f t="shared" si="40"/>
        <v>1</v>
      </c>
      <c r="F330" s="118"/>
      <c r="G330" s="9">
        <v>1</v>
      </c>
      <c r="H330" s="89"/>
    </row>
    <row r="331" spans="1:8" x14ac:dyDescent="0.25">
      <c r="A331" s="377"/>
      <c r="B331" s="123" t="s">
        <v>114</v>
      </c>
      <c r="C331" s="123" t="s">
        <v>430</v>
      </c>
      <c r="D331" s="117">
        <f t="shared" si="42"/>
        <v>278</v>
      </c>
      <c r="E331" s="118">
        <f t="shared" si="40"/>
        <v>1</v>
      </c>
      <c r="F331" s="118"/>
      <c r="G331" s="9">
        <v>1</v>
      </c>
      <c r="H331" s="89"/>
    </row>
    <row r="332" spans="1:8" x14ac:dyDescent="0.25">
      <c r="A332" s="377"/>
      <c r="B332" s="123" t="s">
        <v>115</v>
      </c>
      <c r="C332" s="123" t="s">
        <v>431</v>
      </c>
      <c r="D332" s="117">
        <f t="shared" si="42"/>
        <v>279</v>
      </c>
      <c r="E332" s="118">
        <f t="shared" si="40"/>
        <v>0</v>
      </c>
      <c r="F332" s="118"/>
      <c r="G332" s="9">
        <v>0</v>
      </c>
      <c r="H332" s="89"/>
    </row>
    <row r="333" spans="1:8" x14ac:dyDescent="0.25">
      <c r="A333" s="377"/>
      <c r="B333" s="123" t="s">
        <v>116</v>
      </c>
      <c r="C333" s="123" t="s">
        <v>432</v>
      </c>
      <c r="D333" s="117">
        <f t="shared" si="42"/>
        <v>280</v>
      </c>
      <c r="E333" s="118">
        <f t="shared" si="40"/>
        <v>0</v>
      </c>
      <c r="F333" s="118"/>
      <c r="G333" s="9">
        <v>0</v>
      </c>
      <c r="H333" s="89"/>
    </row>
    <row r="334" spans="1:8" x14ac:dyDescent="0.25">
      <c r="A334" s="377"/>
      <c r="B334" s="123" t="s">
        <v>117</v>
      </c>
      <c r="C334" s="123" t="s">
        <v>433</v>
      </c>
      <c r="D334" s="117">
        <f t="shared" si="42"/>
        <v>281</v>
      </c>
      <c r="E334" s="118">
        <f t="shared" si="40"/>
        <v>1</v>
      </c>
      <c r="F334" s="118"/>
      <c r="G334" s="9">
        <v>1</v>
      </c>
      <c r="H334" s="89"/>
    </row>
    <row r="335" spans="1:8" x14ac:dyDescent="0.25">
      <c r="A335" s="377"/>
      <c r="B335" s="123" t="s">
        <v>1128</v>
      </c>
      <c r="C335" s="123" t="s">
        <v>434</v>
      </c>
      <c r="D335" s="117">
        <f t="shared" si="42"/>
        <v>282</v>
      </c>
      <c r="E335" s="118">
        <f t="shared" si="40"/>
        <v>0</v>
      </c>
      <c r="F335" s="118"/>
      <c r="G335" s="9">
        <v>0</v>
      </c>
      <c r="H335" s="89"/>
    </row>
    <row r="336" spans="1:8" x14ac:dyDescent="0.25">
      <c r="A336" s="377"/>
      <c r="B336" s="390" t="s">
        <v>118</v>
      </c>
      <c r="C336" s="123" t="s">
        <v>435</v>
      </c>
      <c r="D336" s="117">
        <f t="shared" si="42"/>
        <v>283</v>
      </c>
      <c r="E336" s="118">
        <f t="shared" si="40"/>
        <v>0</v>
      </c>
      <c r="F336" s="118"/>
      <c r="G336" s="9">
        <v>0</v>
      </c>
      <c r="H336" s="89"/>
    </row>
    <row r="337" spans="1:8" x14ac:dyDescent="0.25">
      <c r="A337" s="378"/>
      <c r="B337" s="391"/>
      <c r="C337" s="123" t="s">
        <v>436</v>
      </c>
      <c r="D337" s="117">
        <f t="shared" si="42"/>
        <v>284</v>
      </c>
      <c r="E337" s="118"/>
      <c r="F337" s="118"/>
      <c r="G337" s="9" t="s">
        <v>1344</v>
      </c>
      <c r="H337" s="89"/>
    </row>
    <row r="338" spans="1:8" x14ac:dyDescent="0.25">
      <c r="A338" s="376">
        <f>A330+1</f>
        <v>347</v>
      </c>
      <c r="B338" s="123" t="s">
        <v>1129</v>
      </c>
      <c r="C338" s="123" t="s">
        <v>437</v>
      </c>
      <c r="D338" s="117">
        <f t="shared" si="42"/>
        <v>285</v>
      </c>
      <c r="E338" s="118">
        <f t="shared" si="40"/>
        <v>1</v>
      </c>
      <c r="F338" s="118"/>
      <c r="G338" s="9">
        <v>1</v>
      </c>
      <c r="H338" s="89"/>
    </row>
    <row r="339" spans="1:8" x14ac:dyDescent="0.25">
      <c r="A339" s="377"/>
      <c r="B339" s="123" t="s">
        <v>1130</v>
      </c>
      <c r="C339" s="123" t="s">
        <v>438</v>
      </c>
      <c r="D339" s="117">
        <f t="shared" si="42"/>
        <v>286</v>
      </c>
      <c r="E339" s="118">
        <f t="shared" si="40"/>
        <v>1</v>
      </c>
      <c r="F339" s="118"/>
      <c r="G339" s="9">
        <v>1</v>
      </c>
      <c r="H339" s="89"/>
    </row>
    <row r="340" spans="1:8" x14ac:dyDescent="0.25">
      <c r="A340" s="377"/>
      <c r="B340" s="123" t="s">
        <v>1131</v>
      </c>
      <c r="C340" s="123" t="s">
        <v>439</v>
      </c>
      <c r="D340" s="117">
        <f t="shared" si="42"/>
        <v>287</v>
      </c>
      <c r="E340" s="118">
        <f t="shared" si="40"/>
        <v>0</v>
      </c>
      <c r="F340" s="118"/>
      <c r="G340" s="9">
        <v>0</v>
      </c>
      <c r="H340" s="89"/>
    </row>
    <row r="341" spans="1:8" x14ac:dyDescent="0.25">
      <c r="A341" s="377"/>
      <c r="B341" s="123" t="s">
        <v>1132</v>
      </c>
      <c r="C341" s="123" t="s">
        <v>440</v>
      </c>
      <c r="D341" s="117">
        <f t="shared" si="42"/>
        <v>288</v>
      </c>
      <c r="E341" s="118">
        <f t="shared" si="40"/>
        <v>0</v>
      </c>
      <c r="F341" s="118"/>
      <c r="G341" s="9">
        <v>0</v>
      </c>
      <c r="H341" s="89"/>
    </row>
    <row r="342" spans="1:8" x14ac:dyDescent="0.25">
      <c r="A342" s="377"/>
      <c r="B342" s="123" t="s">
        <v>1133</v>
      </c>
      <c r="C342" s="123" t="s">
        <v>441</v>
      </c>
      <c r="D342" s="117">
        <f t="shared" si="42"/>
        <v>289</v>
      </c>
      <c r="E342" s="118">
        <f t="shared" si="40"/>
        <v>1</v>
      </c>
      <c r="F342" s="118"/>
      <c r="G342" s="9">
        <v>1</v>
      </c>
      <c r="H342" s="89"/>
    </row>
    <row r="343" spans="1:8" x14ac:dyDescent="0.25">
      <c r="A343" s="378"/>
      <c r="B343" s="123" t="s">
        <v>1134</v>
      </c>
      <c r="C343" s="123" t="s">
        <v>442</v>
      </c>
      <c r="D343" s="117">
        <f t="shared" si="42"/>
        <v>290</v>
      </c>
      <c r="E343" s="118">
        <f t="shared" si="40"/>
        <v>0</v>
      </c>
      <c r="F343" s="118"/>
      <c r="G343" s="9">
        <v>0</v>
      </c>
      <c r="H343" s="89"/>
    </row>
    <row r="344" spans="1:8" x14ac:dyDescent="0.25">
      <c r="A344" s="104">
        <f>A338+1</f>
        <v>348</v>
      </c>
      <c r="B344" s="123" t="s">
        <v>119</v>
      </c>
      <c r="C344" s="123" t="s">
        <v>443</v>
      </c>
      <c r="D344" s="117">
        <f t="shared" si="42"/>
        <v>291</v>
      </c>
      <c r="E344" s="118">
        <f t="shared" si="40"/>
        <v>1</v>
      </c>
      <c r="F344" s="118"/>
      <c r="G344" s="9">
        <v>1</v>
      </c>
      <c r="H344" s="89"/>
    </row>
    <row r="345" spans="1:8" x14ac:dyDescent="0.25">
      <c r="A345" s="376">
        <f>A344+1</f>
        <v>349</v>
      </c>
      <c r="B345" s="123" t="s">
        <v>120</v>
      </c>
      <c r="C345" s="123" t="s">
        <v>444</v>
      </c>
      <c r="D345" s="117">
        <f t="shared" si="42"/>
        <v>292</v>
      </c>
      <c r="E345" s="118">
        <f t="shared" si="40"/>
        <v>1</v>
      </c>
      <c r="F345" s="118"/>
      <c r="G345" s="9">
        <v>1</v>
      </c>
      <c r="H345" s="89"/>
    </row>
    <row r="346" spans="1:8" x14ac:dyDescent="0.25">
      <c r="A346" s="377"/>
      <c r="B346" s="123" t="s">
        <v>121</v>
      </c>
      <c r="C346" s="123" t="s">
        <v>445</v>
      </c>
      <c r="D346" s="117">
        <f t="shared" si="42"/>
        <v>293</v>
      </c>
      <c r="E346" s="118">
        <f t="shared" si="40"/>
        <v>54</v>
      </c>
      <c r="F346" s="118" t="s">
        <v>639</v>
      </c>
      <c r="G346" s="9">
        <v>54</v>
      </c>
      <c r="H346" s="89"/>
    </row>
    <row r="347" spans="1:8" x14ac:dyDescent="0.25">
      <c r="A347" s="378"/>
      <c r="B347" s="123" t="s">
        <v>122</v>
      </c>
      <c r="C347" s="123" t="s">
        <v>446</v>
      </c>
      <c r="D347" s="117">
        <f t="shared" si="42"/>
        <v>294</v>
      </c>
      <c r="E347" s="118">
        <f t="shared" si="40"/>
        <v>4</v>
      </c>
      <c r="F347" s="118" t="s">
        <v>640</v>
      </c>
      <c r="G347" s="9">
        <v>4</v>
      </c>
      <c r="H347" s="89"/>
    </row>
    <row r="348" spans="1:8" x14ac:dyDescent="0.25">
      <c r="A348" s="376">
        <f>A345+1</f>
        <v>350</v>
      </c>
      <c r="B348" s="123" t="s">
        <v>123</v>
      </c>
      <c r="C348" s="123" t="s">
        <v>447</v>
      </c>
      <c r="D348" s="117">
        <f t="shared" si="42"/>
        <v>295</v>
      </c>
      <c r="E348" s="118">
        <f t="shared" si="40"/>
        <v>1</v>
      </c>
      <c r="F348" s="118"/>
      <c r="G348" s="9">
        <v>1</v>
      </c>
      <c r="H348" s="89"/>
    </row>
    <row r="349" spans="1:8" x14ac:dyDescent="0.25">
      <c r="A349" s="377"/>
      <c r="B349" s="123" t="s">
        <v>124</v>
      </c>
      <c r="C349" s="123" t="s">
        <v>448</v>
      </c>
      <c r="D349" s="117">
        <f t="shared" si="42"/>
        <v>296</v>
      </c>
      <c r="E349" s="118">
        <f t="shared" si="40"/>
        <v>1</v>
      </c>
      <c r="F349" s="118"/>
      <c r="G349" s="9">
        <v>1</v>
      </c>
      <c r="H349" s="89"/>
    </row>
    <row r="350" spans="1:8" x14ac:dyDescent="0.25">
      <c r="A350" s="377"/>
      <c r="B350" s="123" t="s">
        <v>125</v>
      </c>
      <c r="C350" s="123" t="s">
        <v>449</v>
      </c>
      <c r="D350" s="117">
        <f t="shared" si="42"/>
        <v>297</v>
      </c>
      <c r="E350" s="118">
        <f t="shared" si="40"/>
        <v>1</v>
      </c>
      <c r="F350" s="118"/>
      <c r="G350" s="9">
        <v>1</v>
      </c>
      <c r="H350" s="89"/>
    </row>
    <row r="351" spans="1:8" x14ac:dyDescent="0.25">
      <c r="A351" s="377"/>
      <c r="B351" s="204" t="s">
        <v>126</v>
      </c>
      <c r="C351" s="123" t="s">
        <v>450</v>
      </c>
      <c r="D351" s="117">
        <f t="shared" si="42"/>
        <v>298</v>
      </c>
      <c r="E351" s="118">
        <f t="shared" si="40"/>
        <v>1</v>
      </c>
      <c r="F351" s="118"/>
      <c r="G351" s="9">
        <v>1</v>
      </c>
      <c r="H351" s="89"/>
    </row>
    <row r="352" spans="1:8" x14ac:dyDescent="0.25">
      <c r="A352" s="378"/>
      <c r="B352" s="205"/>
      <c r="C352" s="123" t="s">
        <v>451</v>
      </c>
      <c r="D352" s="117">
        <f t="shared" si="42"/>
        <v>299</v>
      </c>
      <c r="E352" s="118" t="str">
        <f>G352</f>
        <v>-</v>
      </c>
      <c r="F352" s="118"/>
      <c r="G352" s="9" t="s">
        <v>1344</v>
      </c>
      <c r="H352" s="89"/>
    </row>
    <row r="353" spans="1:8" x14ac:dyDescent="0.25">
      <c r="A353" s="104"/>
      <c r="B353" s="183" t="s">
        <v>642</v>
      </c>
      <c r="C353" s="185"/>
      <c r="D353" s="339"/>
      <c r="E353" s="118"/>
      <c r="F353" s="118"/>
      <c r="G353" s="9"/>
    </row>
    <row r="354" spans="1:8" x14ac:dyDescent="0.25">
      <c r="A354" s="104">
        <f>A348+1</f>
        <v>351</v>
      </c>
      <c r="B354" s="123" t="s">
        <v>1002</v>
      </c>
      <c r="C354" s="123" t="s">
        <v>452</v>
      </c>
      <c r="D354" s="117">
        <f>D352+1</f>
        <v>300</v>
      </c>
      <c r="E354" s="118">
        <f t="shared" si="40"/>
        <v>1</v>
      </c>
      <c r="F354" s="118"/>
      <c r="G354" s="9">
        <v>1</v>
      </c>
      <c r="H354" s="89"/>
    </row>
    <row r="355" spans="1:8" x14ac:dyDescent="0.25">
      <c r="A355" s="104">
        <f>A354+1</f>
        <v>352</v>
      </c>
      <c r="B355" s="123" t="s">
        <v>1003</v>
      </c>
      <c r="C355" s="123" t="s">
        <v>453</v>
      </c>
      <c r="D355" s="117">
        <f>D354+1</f>
        <v>301</v>
      </c>
      <c r="E355" s="118">
        <f t="shared" si="40"/>
        <v>1</v>
      </c>
      <c r="F355" s="118"/>
      <c r="G355" s="9">
        <v>1</v>
      </c>
      <c r="H355" s="89"/>
    </row>
    <row r="356" spans="1:8" x14ac:dyDescent="0.25">
      <c r="A356" s="376">
        <f>A355+1</f>
        <v>353</v>
      </c>
      <c r="B356" s="123" t="s">
        <v>127</v>
      </c>
      <c r="C356" s="123" t="s">
        <v>454</v>
      </c>
      <c r="D356" s="117">
        <f t="shared" ref="D356:D384" si="43">D355+1</f>
        <v>302</v>
      </c>
      <c r="E356" s="118">
        <f t="shared" si="40"/>
        <v>0</v>
      </c>
      <c r="F356" s="118"/>
      <c r="G356" s="9">
        <v>0</v>
      </c>
      <c r="H356" s="89"/>
    </row>
    <row r="357" spans="1:8" x14ac:dyDescent="0.25">
      <c r="A357" s="377"/>
      <c r="B357" s="123" t="s">
        <v>888</v>
      </c>
      <c r="C357" s="123" t="s">
        <v>455</v>
      </c>
      <c r="D357" s="117">
        <f t="shared" si="43"/>
        <v>303</v>
      </c>
      <c r="E357" s="118">
        <f t="shared" si="40"/>
        <v>0</v>
      </c>
      <c r="F357" s="118" t="s">
        <v>631</v>
      </c>
      <c r="G357" s="9">
        <v>0</v>
      </c>
      <c r="H357" s="89"/>
    </row>
    <row r="358" spans="1:8" x14ac:dyDescent="0.25">
      <c r="A358" s="377"/>
      <c r="B358" s="123" t="s">
        <v>889</v>
      </c>
      <c r="C358" s="123" t="s">
        <v>456</v>
      </c>
      <c r="D358" s="117">
        <f t="shared" si="43"/>
        <v>304</v>
      </c>
      <c r="E358" s="118">
        <f t="shared" si="40"/>
        <v>0</v>
      </c>
      <c r="F358" s="118" t="s">
        <v>631</v>
      </c>
      <c r="G358" s="9">
        <v>0</v>
      </c>
      <c r="H358" s="89"/>
    </row>
    <row r="359" spans="1:8" x14ac:dyDescent="0.25">
      <c r="A359" s="377"/>
      <c r="B359" s="123" t="s">
        <v>890</v>
      </c>
      <c r="C359" s="123" t="s">
        <v>457</v>
      </c>
      <c r="D359" s="117">
        <f t="shared" si="43"/>
        <v>305</v>
      </c>
      <c r="E359" s="118">
        <f t="shared" si="40"/>
        <v>0</v>
      </c>
      <c r="F359" s="118" t="s">
        <v>631</v>
      </c>
      <c r="G359" s="9">
        <v>0</v>
      </c>
      <c r="H359" s="89"/>
    </row>
    <row r="360" spans="1:8" x14ac:dyDescent="0.25">
      <c r="A360" s="377"/>
      <c r="B360" s="123" t="s">
        <v>891</v>
      </c>
      <c r="C360" s="123" t="s">
        <v>458</v>
      </c>
      <c r="D360" s="117">
        <f t="shared" si="43"/>
        <v>306</v>
      </c>
      <c r="E360" s="118">
        <f t="shared" si="40"/>
        <v>0</v>
      </c>
      <c r="F360" s="118" t="s">
        <v>631</v>
      </c>
      <c r="G360" s="9">
        <v>0</v>
      </c>
      <c r="H360" s="89"/>
    </row>
    <row r="361" spans="1:8" x14ac:dyDescent="0.25">
      <c r="A361" s="377"/>
      <c r="B361" s="123" t="s">
        <v>892</v>
      </c>
      <c r="C361" s="123" t="s">
        <v>459</v>
      </c>
      <c r="D361" s="117">
        <f t="shared" si="43"/>
        <v>307</v>
      </c>
      <c r="E361" s="118">
        <f t="shared" si="40"/>
        <v>0</v>
      </c>
      <c r="F361" s="118" t="s">
        <v>631</v>
      </c>
      <c r="G361" s="9">
        <v>0</v>
      </c>
      <c r="H361" s="89"/>
    </row>
    <row r="362" spans="1:8" x14ac:dyDescent="0.25">
      <c r="A362" s="377"/>
      <c r="B362" s="123" t="s">
        <v>893</v>
      </c>
      <c r="C362" s="123" t="s">
        <v>460</v>
      </c>
      <c r="D362" s="117">
        <f t="shared" si="43"/>
        <v>308</v>
      </c>
      <c r="E362" s="118">
        <f t="shared" si="40"/>
        <v>0</v>
      </c>
      <c r="F362" s="118" t="s">
        <v>631</v>
      </c>
      <c r="G362" s="9">
        <v>0</v>
      </c>
      <c r="H362" s="89"/>
    </row>
    <row r="363" spans="1:8" x14ac:dyDescent="0.25">
      <c r="A363" s="377"/>
      <c r="B363" s="123" t="s">
        <v>894</v>
      </c>
      <c r="C363" s="123" t="s">
        <v>461</v>
      </c>
      <c r="D363" s="117">
        <f t="shared" si="43"/>
        <v>309</v>
      </c>
      <c r="E363" s="118">
        <f t="shared" si="40"/>
        <v>0</v>
      </c>
      <c r="F363" s="118" t="s">
        <v>631</v>
      </c>
      <c r="G363" s="9">
        <v>0</v>
      </c>
      <c r="H363" s="89"/>
    </row>
    <row r="364" spans="1:8" x14ac:dyDescent="0.25">
      <c r="A364" s="377"/>
      <c r="B364" s="204" t="s">
        <v>895</v>
      </c>
      <c r="C364" s="123" t="s">
        <v>462</v>
      </c>
      <c r="D364" s="117">
        <f t="shared" si="43"/>
        <v>310</v>
      </c>
      <c r="E364" s="118">
        <f t="shared" si="40"/>
        <v>0</v>
      </c>
      <c r="F364" s="118" t="s">
        <v>631</v>
      </c>
      <c r="G364" s="9">
        <v>0</v>
      </c>
      <c r="H364" s="89"/>
    </row>
    <row r="365" spans="1:8" x14ac:dyDescent="0.25">
      <c r="A365" s="378"/>
      <c r="B365" s="205"/>
      <c r="C365" s="123" t="s">
        <v>463</v>
      </c>
      <c r="D365" s="117">
        <f t="shared" si="43"/>
        <v>311</v>
      </c>
      <c r="E365" s="118" t="str">
        <f>G365</f>
        <v>-</v>
      </c>
      <c r="F365" s="118"/>
      <c r="G365" s="9" t="s">
        <v>1344</v>
      </c>
      <c r="H365" s="89"/>
    </row>
    <row r="366" spans="1:8" x14ac:dyDescent="0.25">
      <c r="A366" s="376">
        <f>A356+1</f>
        <v>354</v>
      </c>
      <c r="B366" s="123" t="s">
        <v>128</v>
      </c>
      <c r="C366" s="123" t="s">
        <v>464</v>
      </c>
      <c r="D366" s="117">
        <f t="shared" si="43"/>
        <v>312</v>
      </c>
      <c r="E366" s="118">
        <f t="shared" si="40"/>
        <v>1</v>
      </c>
      <c r="F366" s="118"/>
      <c r="G366" s="9">
        <v>1</v>
      </c>
      <c r="H366" s="89"/>
    </row>
    <row r="367" spans="1:8" x14ac:dyDescent="0.25">
      <c r="A367" s="377"/>
      <c r="B367" s="123" t="s">
        <v>896</v>
      </c>
      <c r="C367" s="123" t="s">
        <v>465</v>
      </c>
      <c r="D367" s="117">
        <f t="shared" si="43"/>
        <v>313</v>
      </c>
      <c r="E367" s="118">
        <f t="shared" si="40"/>
        <v>1</v>
      </c>
      <c r="F367" s="118"/>
      <c r="G367" s="9">
        <v>1</v>
      </c>
      <c r="H367" s="89"/>
    </row>
    <row r="368" spans="1:8" x14ac:dyDescent="0.25">
      <c r="A368" s="377"/>
      <c r="B368" s="123" t="s">
        <v>897</v>
      </c>
      <c r="C368" s="123" t="s">
        <v>466</v>
      </c>
      <c r="D368" s="117">
        <f t="shared" si="43"/>
        <v>314</v>
      </c>
      <c r="E368" s="118">
        <f t="shared" si="40"/>
        <v>1</v>
      </c>
      <c r="F368" s="118"/>
      <c r="G368" s="9">
        <v>1</v>
      </c>
      <c r="H368" s="89"/>
    </row>
    <row r="369" spans="1:8" x14ac:dyDescent="0.25">
      <c r="A369" s="377"/>
      <c r="B369" s="123" t="s">
        <v>898</v>
      </c>
      <c r="C369" s="123" t="s">
        <v>467</v>
      </c>
      <c r="D369" s="117">
        <f t="shared" si="43"/>
        <v>315</v>
      </c>
      <c r="E369" s="118">
        <f t="shared" si="40"/>
        <v>1</v>
      </c>
      <c r="F369" s="118"/>
      <c r="G369" s="9">
        <v>1</v>
      </c>
      <c r="H369" s="89"/>
    </row>
    <row r="370" spans="1:8" x14ac:dyDescent="0.25">
      <c r="A370" s="377"/>
      <c r="B370" s="123" t="s">
        <v>899</v>
      </c>
      <c r="C370" s="123" t="s">
        <v>468</v>
      </c>
      <c r="D370" s="117">
        <f t="shared" si="43"/>
        <v>316</v>
      </c>
      <c r="E370" s="118">
        <f t="shared" si="40"/>
        <v>1</v>
      </c>
      <c r="F370" s="118"/>
      <c r="G370" s="9">
        <v>1</v>
      </c>
      <c r="H370" s="89"/>
    </row>
    <row r="371" spans="1:8" x14ac:dyDescent="0.25">
      <c r="A371" s="377"/>
      <c r="B371" s="204" t="s">
        <v>900</v>
      </c>
      <c r="C371" s="123" t="s">
        <v>469</v>
      </c>
      <c r="D371" s="117">
        <f t="shared" si="43"/>
        <v>317</v>
      </c>
      <c r="E371" s="118">
        <f t="shared" si="40"/>
        <v>0</v>
      </c>
      <c r="F371" s="118"/>
      <c r="G371" s="9">
        <v>0</v>
      </c>
      <c r="H371" s="89"/>
    </row>
    <row r="372" spans="1:8" x14ac:dyDescent="0.25">
      <c r="A372" s="377"/>
      <c r="B372" s="205"/>
      <c r="C372" s="123" t="s">
        <v>470</v>
      </c>
      <c r="D372" s="117">
        <f t="shared" si="43"/>
        <v>318</v>
      </c>
      <c r="E372" s="118" t="str">
        <f t="shared" si="40"/>
        <v>-</v>
      </c>
      <c r="F372" s="118"/>
      <c r="G372" s="9" t="s">
        <v>1344</v>
      </c>
      <c r="H372" s="89"/>
    </row>
    <row r="373" spans="1:8" x14ac:dyDescent="0.25">
      <c r="A373" s="378"/>
      <c r="B373" s="205" t="s">
        <v>901</v>
      </c>
      <c r="C373" s="123" t="s">
        <v>471</v>
      </c>
      <c r="D373" s="117">
        <f t="shared" si="43"/>
        <v>319</v>
      </c>
      <c r="E373" s="118">
        <f t="shared" si="40"/>
        <v>0</v>
      </c>
      <c r="F373" s="118"/>
      <c r="G373" s="9">
        <v>0</v>
      </c>
      <c r="H373" s="89"/>
    </row>
    <row r="374" spans="1:8" x14ac:dyDescent="0.25">
      <c r="A374" s="104">
        <f>A366+1</f>
        <v>355</v>
      </c>
      <c r="B374" s="123" t="s">
        <v>129</v>
      </c>
      <c r="C374" s="123" t="s">
        <v>472</v>
      </c>
      <c r="D374" s="117">
        <f t="shared" si="43"/>
        <v>320</v>
      </c>
      <c r="E374" s="118">
        <f t="shared" si="40"/>
        <v>0</v>
      </c>
      <c r="F374" s="118"/>
      <c r="G374" s="9">
        <v>0</v>
      </c>
      <c r="H374" s="89"/>
    </row>
    <row r="375" spans="1:8" x14ac:dyDescent="0.25">
      <c r="A375" s="376">
        <f>A374+1</f>
        <v>356</v>
      </c>
      <c r="B375" s="123" t="s">
        <v>130</v>
      </c>
      <c r="C375" s="123" t="s">
        <v>473</v>
      </c>
      <c r="D375" s="117">
        <f t="shared" si="43"/>
        <v>321</v>
      </c>
      <c r="E375" s="118">
        <f t="shared" si="40"/>
        <v>1</v>
      </c>
      <c r="F375" s="118"/>
      <c r="G375" s="9">
        <v>1</v>
      </c>
      <c r="H375" s="89"/>
    </row>
    <row r="376" spans="1:8" x14ac:dyDescent="0.25">
      <c r="A376" s="377"/>
      <c r="B376" s="123" t="s">
        <v>131</v>
      </c>
      <c r="C376" s="123" t="s">
        <v>474</v>
      </c>
      <c r="D376" s="117">
        <f t="shared" si="43"/>
        <v>322</v>
      </c>
      <c r="E376" s="118">
        <f t="shared" si="40"/>
        <v>0</v>
      </c>
      <c r="F376" s="118"/>
      <c r="G376" s="9">
        <v>0</v>
      </c>
      <c r="H376" s="89"/>
    </row>
    <row r="377" spans="1:8" x14ac:dyDescent="0.25">
      <c r="A377" s="377"/>
      <c r="B377" s="123" t="s">
        <v>132</v>
      </c>
      <c r="C377" s="123" t="s">
        <v>475</v>
      </c>
      <c r="D377" s="117">
        <f t="shared" si="43"/>
        <v>323</v>
      </c>
      <c r="E377" s="118">
        <f t="shared" si="40"/>
        <v>0</v>
      </c>
      <c r="F377" s="118"/>
      <c r="G377" s="9">
        <v>0</v>
      </c>
      <c r="H377" s="89"/>
    </row>
    <row r="378" spans="1:8" x14ac:dyDescent="0.25">
      <c r="A378" s="377"/>
      <c r="B378" s="123" t="s">
        <v>133</v>
      </c>
      <c r="C378" s="123" t="s">
        <v>476</v>
      </c>
      <c r="D378" s="117">
        <f t="shared" si="43"/>
        <v>324</v>
      </c>
      <c r="E378" s="118">
        <f t="shared" si="40"/>
        <v>0</v>
      </c>
      <c r="F378" s="118"/>
      <c r="G378" s="9">
        <v>0</v>
      </c>
      <c r="H378" s="89"/>
    </row>
    <row r="379" spans="1:8" x14ac:dyDescent="0.25">
      <c r="A379" s="377"/>
      <c r="B379" s="123" t="s">
        <v>134</v>
      </c>
      <c r="C379" s="123" t="s">
        <v>477</v>
      </c>
      <c r="D379" s="117">
        <f t="shared" si="43"/>
        <v>325</v>
      </c>
      <c r="E379" s="118">
        <f t="shared" ref="E379:E474" si="44">G379</f>
        <v>0</v>
      </c>
      <c r="F379" s="118"/>
      <c r="G379" s="9">
        <v>0</v>
      </c>
      <c r="H379" s="89"/>
    </row>
    <row r="380" spans="1:8" x14ac:dyDescent="0.25">
      <c r="A380" s="377"/>
      <c r="B380" s="123" t="s">
        <v>1405</v>
      </c>
      <c r="C380" s="123" t="s">
        <v>478</v>
      </c>
      <c r="D380" s="117">
        <f t="shared" si="43"/>
        <v>326</v>
      </c>
      <c r="E380" s="118">
        <f t="shared" si="44"/>
        <v>0</v>
      </c>
      <c r="F380" s="118"/>
      <c r="G380" s="9">
        <v>0</v>
      </c>
      <c r="H380" s="89"/>
    </row>
    <row r="381" spans="1:8" x14ac:dyDescent="0.25">
      <c r="A381" s="377"/>
      <c r="B381" s="123" t="s">
        <v>135</v>
      </c>
      <c r="C381" s="123" t="s">
        <v>479</v>
      </c>
      <c r="D381" s="117">
        <f t="shared" si="43"/>
        <v>327</v>
      </c>
      <c r="E381" s="118">
        <f t="shared" si="44"/>
        <v>0</v>
      </c>
      <c r="F381" s="118"/>
      <c r="G381" s="9">
        <v>0</v>
      </c>
      <c r="H381" s="89"/>
    </row>
    <row r="382" spans="1:8" x14ac:dyDescent="0.25">
      <c r="A382" s="377"/>
      <c r="B382" s="123" t="s">
        <v>136</v>
      </c>
      <c r="C382" s="123" t="s">
        <v>480</v>
      </c>
      <c r="D382" s="117">
        <f t="shared" si="43"/>
        <v>328</v>
      </c>
      <c r="E382" s="118">
        <f t="shared" si="44"/>
        <v>0</v>
      </c>
      <c r="F382" s="118"/>
      <c r="G382" s="9">
        <v>0</v>
      </c>
      <c r="H382" s="89"/>
    </row>
    <row r="383" spans="1:8" x14ac:dyDescent="0.25">
      <c r="A383" s="377"/>
      <c r="B383" s="123" t="s">
        <v>137</v>
      </c>
      <c r="C383" s="123" t="s">
        <v>481</v>
      </c>
      <c r="D383" s="117">
        <f t="shared" si="43"/>
        <v>329</v>
      </c>
      <c r="E383" s="118">
        <f t="shared" si="44"/>
        <v>0</v>
      </c>
      <c r="F383" s="118"/>
      <c r="G383" s="9">
        <v>0</v>
      </c>
      <c r="H383" s="89"/>
    </row>
    <row r="384" spans="1:8" x14ac:dyDescent="0.25">
      <c r="A384" s="378"/>
      <c r="B384" s="123" t="s">
        <v>138</v>
      </c>
      <c r="C384" s="123" t="s">
        <v>482</v>
      </c>
      <c r="D384" s="117">
        <f t="shared" si="43"/>
        <v>330</v>
      </c>
      <c r="E384" s="118" t="str">
        <f t="shared" si="44"/>
        <v>A1</v>
      </c>
      <c r="F384" s="118"/>
      <c r="G384" s="9" t="s">
        <v>1361</v>
      </c>
      <c r="H384" s="89"/>
    </row>
    <row r="385" spans="1:9" x14ac:dyDescent="0.25">
      <c r="A385" s="104"/>
      <c r="B385" s="183" t="s">
        <v>643</v>
      </c>
      <c r="C385" s="185"/>
      <c r="D385" s="339"/>
      <c r="E385" s="118"/>
      <c r="F385" s="118"/>
      <c r="G385" s="9"/>
    </row>
    <row r="386" spans="1:9" x14ac:dyDescent="0.25">
      <c r="A386" s="376">
        <f>A375+1</f>
        <v>357</v>
      </c>
      <c r="B386" s="123" t="s">
        <v>139</v>
      </c>
      <c r="C386" s="123" t="s">
        <v>483</v>
      </c>
      <c r="D386" s="117">
        <f>D384+1</f>
        <v>331</v>
      </c>
      <c r="E386" s="118">
        <f t="shared" si="44"/>
        <v>0</v>
      </c>
      <c r="F386" s="118"/>
      <c r="G386" s="9">
        <v>0</v>
      </c>
      <c r="H386" s="89"/>
    </row>
    <row r="387" spans="1:9" x14ac:dyDescent="0.25">
      <c r="A387" s="377"/>
      <c r="B387" s="123" t="s">
        <v>140</v>
      </c>
      <c r="C387" s="123" t="s">
        <v>484</v>
      </c>
      <c r="D387" s="117">
        <f>D386+1</f>
        <v>332</v>
      </c>
      <c r="E387" s="118">
        <f t="shared" si="44"/>
        <v>0</v>
      </c>
      <c r="F387" s="118" t="s">
        <v>628</v>
      </c>
      <c r="G387" s="9">
        <v>0</v>
      </c>
      <c r="H387" s="89"/>
    </row>
    <row r="388" spans="1:9" x14ac:dyDescent="0.25">
      <c r="A388" s="377"/>
      <c r="B388" s="123" t="s">
        <v>141</v>
      </c>
      <c r="C388" s="123" t="s">
        <v>485</v>
      </c>
      <c r="D388" s="117">
        <f t="shared" ref="D388:D404" si="45">D387+1</f>
        <v>333</v>
      </c>
      <c r="E388" s="126">
        <f t="shared" si="44"/>
        <v>0</v>
      </c>
      <c r="F388" s="118" t="s">
        <v>644</v>
      </c>
      <c r="G388" s="325">
        <v>0</v>
      </c>
      <c r="H388" s="89"/>
    </row>
    <row r="389" spans="1:9" x14ac:dyDescent="0.25">
      <c r="A389" s="377"/>
      <c r="B389" s="123" t="s">
        <v>1710</v>
      </c>
      <c r="C389" s="123" t="s">
        <v>1428</v>
      </c>
      <c r="D389" s="117">
        <f t="shared" si="45"/>
        <v>334</v>
      </c>
      <c r="E389" s="126"/>
      <c r="F389" s="118" t="s">
        <v>612</v>
      </c>
      <c r="G389" s="9"/>
      <c r="H389" s="89"/>
      <c r="I389" s="229" t="s">
        <v>1697</v>
      </c>
    </row>
    <row r="390" spans="1:9" x14ac:dyDescent="0.25">
      <c r="A390" s="377"/>
      <c r="B390" s="123" t="s">
        <v>1711</v>
      </c>
      <c r="C390" s="123" t="s">
        <v>1429</v>
      </c>
      <c r="D390" s="117">
        <f t="shared" si="45"/>
        <v>335</v>
      </c>
      <c r="E390" s="126"/>
      <c r="F390" s="118" t="s">
        <v>612</v>
      </c>
      <c r="G390" s="9"/>
      <c r="H390" s="89"/>
      <c r="I390" s="229" t="s">
        <v>1697</v>
      </c>
    </row>
    <row r="391" spans="1:9" x14ac:dyDescent="0.25">
      <c r="A391" s="377"/>
      <c r="B391" s="123" t="s">
        <v>1712</v>
      </c>
      <c r="C391" s="123" t="s">
        <v>1430</v>
      </c>
      <c r="D391" s="117">
        <f t="shared" si="45"/>
        <v>336</v>
      </c>
      <c r="E391" s="126"/>
      <c r="F391" s="118" t="s">
        <v>612</v>
      </c>
      <c r="G391" s="9"/>
      <c r="H391" s="89"/>
      <c r="I391" s="229" t="s">
        <v>1697</v>
      </c>
    </row>
    <row r="392" spans="1:9" x14ac:dyDescent="0.25">
      <c r="A392" s="377"/>
      <c r="B392" s="123" t="s">
        <v>1713</v>
      </c>
      <c r="C392" s="123" t="s">
        <v>1431</v>
      </c>
      <c r="D392" s="117">
        <f t="shared" si="45"/>
        <v>337</v>
      </c>
      <c r="E392" s="126"/>
      <c r="F392" s="118" t="s">
        <v>612</v>
      </c>
      <c r="G392" s="9"/>
      <c r="H392" s="89"/>
      <c r="I392" s="229" t="s">
        <v>1697</v>
      </c>
    </row>
    <row r="393" spans="1:9" x14ac:dyDescent="0.25">
      <c r="A393" s="377"/>
      <c r="B393" s="123" t="s">
        <v>1714</v>
      </c>
      <c r="C393" s="123" t="s">
        <v>1432</v>
      </c>
      <c r="D393" s="117">
        <f t="shared" si="45"/>
        <v>338</v>
      </c>
      <c r="E393" s="126"/>
      <c r="F393" s="118" t="s">
        <v>612</v>
      </c>
      <c r="G393" s="9"/>
      <c r="H393" s="89"/>
      <c r="I393" s="229" t="s">
        <v>1697</v>
      </c>
    </row>
    <row r="394" spans="1:9" x14ac:dyDescent="0.25">
      <c r="A394" s="377"/>
      <c r="B394" s="123" t="s">
        <v>1715</v>
      </c>
      <c r="C394" s="123" t="s">
        <v>1433</v>
      </c>
      <c r="D394" s="117">
        <f t="shared" si="45"/>
        <v>339</v>
      </c>
      <c r="E394" s="126"/>
      <c r="F394" s="118" t="s">
        <v>612</v>
      </c>
      <c r="G394" s="9"/>
      <c r="H394" s="89"/>
      <c r="I394" s="229" t="s">
        <v>1697</v>
      </c>
    </row>
    <row r="395" spans="1:9" x14ac:dyDescent="0.25">
      <c r="A395" s="378"/>
      <c r="B395" s="123" t="s">
        <v>1716</v>
      </c>
      <c r="C395" s="123" t="s">
        <v>1434</v>
      </c>
      <c r="D395" s="117">
        <f t="shared" si="45"/>
        <v>340</v>
      </c>
      <c r="E395" s="126"/>
      <c r="F395" s="118" t="s">
        <v>612</v>
      </c>
      <c r="G395" s="9"/>
      <c r="H395" s="89"/>
      <c r="I395" s="229" t="s">
        <v>1697</v>
      </c>
    </row>
    <row r="396" spans="1:9" x14ac:dyDescent="0.25">
      <c r="A396" s="376">
        <f>A386+1</f>
        <v>358</v>
      </c>
      <c r="B396" s="123" t="s">
        <v>1005</v>
      </c>
      <c r="C396" s="123" t="s">
        <v>486</v>
      </c>
      <c r="D396" s="117">
        <f t="shared" si="45"/>
        <v>341</v>
      </c>
      <c r="E396" s="118">
        <f t="shared" si="44"/>
        <v>0</v>
      </c>
      <c r="F396" s="118"/>
      <c r="G396" s="9">
        <v>0</v>
      </c>
      <c r="H396" s="89"/>
    </row>
    <row r="397" spans="1:9" x14ac:dyDescent="0.25">
      <c r="A397" s="377"/>
      <c r="B397" s="123" t="s">
        <v>1006</v>
      </c>
      <c r="C397" s="123" t="s">
        <v>487</v>
      </c>
      <c r="D397" s="117">
        <f t="shared" si="45"/>
        <v>342</v>
      </c>
      <c r="E397" s="118">
        <f t="shared" si="44"/>
        <v>0</v>
      </c>
      <c r="F397" s="118"/>
      <c r="G397" s="9">
        <v>0</v>
      </c>
      <c r="H397" s="89"/>
    </row>
    <row r="398" spans="1:9" x14ac:dyDescent="0.25">
      <c r="A398" s="377"/>
      <c r="B398" s="123" t="s">
        <v>1007</v>
      </c>
      <c r="C398" s="123" t="s">
        <v>488</v>
      </c>
      <c r="D398" s="117">
        <f t="shared" si="45"/>
        <v>343</v>
      </c>
      <c r="E398" s="118">
        <f t="shared" si="44"/>
        <v>0</v>
      </c>
      <c r="F398" s="118"/>
      <c r="G398" s="9">
        <v>0</v>
      </c>
      <c r="H398" s="89"/>
    </row>
    <row r="399" spans="1:9" x14ac:dyDescent="0.25">
      <c r="A399" s="377"/>
      <c r="B399" s="123" t="s">
        <v>1008</v>
      </c>
      <c r="C399" s="123" t="s">
        <v>489</v>
      </c>
      <c r="D399" s="117">
        <f t="shared" si="45"/>
        <v>344</v>
      </c>
      <c r="E399" s="118">
        <f t="shared" si="44"/>
        <v>0</v>
      </c>
      <c r="F399" s="118"/>
      <c r="G399" s="9">
        <v>0</v>
      </c>
      <c r="H399" s="89"/>
    </row>
    <row r="400" spans="1:9" x14ac:dyDescent="0.25">
      <c r="A400" s="377"/>
      <c r="B400" s="123" t="s">
        <v>1009</v>
      </c>
      <c r="C400" s="123" t="s">
        <v>490</v>
      </c>
      <c r="D400" s="117">
        <f t="shared" si="45"/>
        <v>345</v>
      </c>
      <c r="E400" s="118">
        <f t="shared" si="44"/>
        <v>0</v>
      </c>
      <c r="F400" s="118"/>
      <c r="G400" s="9">
        <v>0</v>
      </c>
      <c r="H400" s="89"/>
    </row>
    <row r="401" spans="1:9" x14ac:dyDescent="0.25">
      <c r="A401" s="377"/>
      <c r="B401" s="123" t="s">
        <v>1010</v>
      </c>
      <c r="C401" s="123" t="s">
        <v>491</v>
      </c>
      <c r="D401" s="117">
        <f t="shared" si="45"/>
        <v>346</v>
      </c>
      <c r="E401" s="118">
        <f t="shared" si="44"/>
        <v>0</v>
      </c>
      <c r="F401" s="118"/>
      <c r="G401" s="9">
        <v>0</v>
      </c>
      <c r="H401" s="89"/>
    </row>
    <row r="402" spans="1:9" x14ac:dyDescent="0.25">
      <c r="A402" s="377"/>
      <c r="B402" s="123" t="s">
        <v>1011</v>
      </c>
      <c r="C402" s="123" t="s">
        <v>492</v>
      </c>
      <c r="D402" s="117">
        <f t="shared" si="45"/>
        <v>347</v>
      </c>
      <c r="E402" s="118">
        <f t="shared" si="44"/>
        <v>0</v>
      </c>
      <c r="F402" s="118"/>
      <c r="G402" s="9">
        <v>0</v>
      </c>
      <c r="H402" s="89"/>
    </row>
    <row r="403" spans="1:9" x14ac:dyDescent="0.25">
      <c r="A403" s="378"/>
      <c r="B403" s="123" t="s">
        <v>1004</v>
      </c>
      <c r="C403" s="123" t="s">
        <v>493</v>
      </c>
      <c r="D403" s="117">
        <f t="shared" si="45"/>
        <v>348</v>
      </c>
      <c r="E403" s="118">
        <f t="shared" si="44"/>
        <v>0</v>
      </c>
      <c r="F403" s="118"/>
      <c r="G403" s="9">
        <v>0</v>
      </c>
      <c r="H403" s="89"/>
    </row>
    <row r="404" spans="1:9" x14ac:dyDescent="0.25">
      <c r="A404" s="104">
        <f>A396+1</f>
        <v>359</v>
      </c>
      <c r="B404" s="123" t="s">
        <v>142</v>
      </c>
      <c r="C404" s="123" t="s">
        <v>494</v>
      </c>
      <c r="D404" s="117">
        <f t="shared" si="45"/>
        <v>349</v>
      </c>
      <c r="E404" s="118">
        <f t="shared" si="44"/>
        <v>0</v>
      </c>
      <c r="F404" s="118" t="s">
        <v>631</v>
      </c>
      <c r="G404" s="9">
        <v>0</v>
      </c>
      <c r="H404" s="89"/>
    </row>
    <row r="405" spans="1:9" x14ac:dyDescent="0.25">
      <c r="A405" s="395" t="s">
        <v>645</v>
      </c>
      <c r="B405" s="396"/>
      <c r="C405" s="397"/>
      <c r="D405" s="339"/>
      <c r="E405" s="118"/>
      <c r="F405" s="118"/>
      <c r="G405" s="9"/>
    </row>
    <row r="406" spans="1:9" x14ac:dyDescent="0.25">
      <c r="A406" s="348"/>
      <c r="B406" s="183" t="s">
        <v>1413</v>
      </c>
      <c r="C406" s="187"/>
      <c r="D406" s="345"/>
      <c r="E406" s="118"/>
      <c r="F406" s="118"/>
      <c r="G406" s="9"/>
      <c r="I406" s="229" t="s">
        <v>1697</v>
      </c>
    </row>
    <row r="407" spans="1:9" x14ac:dyDescent="0.25">
      <c r="A407" s="379">
        <f>A404+1</f>
        <v>360</v>
      </c>
      <c r="B407" s="123" t="s">
        <v>1435</v>
      </c>
      <c r="C407" s="187" t="s">
        <v>1441</v>
      </c>
      <c r="D407" s="117">
        <f>D404+1</f>
        <v>350</v>
      </c>
      <c r="E407" s="118"/>
      <c r="F407" s="118" t="s">
        <v>618</v>
      </c>
      <c r="G407" s="9"/>
      <c r="I407" s="229" t="s">
        <v>1697</v>
      </c>
    </row>
    <row r="408" spans="1:9" x14ac:dyDescent="0.25">
      <c r="A408" s="380"/>
      <c r="B408" s="123" t="s">
        <v>1436</v>
      </c>
      <c r="C408" s="187" t="s">
        <v>1442</v>
      </c>
      <c r="D408" s="117">
        <f>D407+1</f>
        <v>351</v>
      </c>
      <c r="E408" s="118"/>
      <c r="F408" s="118" t="s">
        <v>618</v>
      </c>
      <c r="G408" s="9"/>
      <c r="I408" s="229" t="s">
        <v>1697</v>
      </c>
    </row>
    <row r="409" spans="1:9" x14ac:dyDescent="0.25">
      <c r="A409" s="380"/>
      <c r="B409" s="123" t="s">
        <v>1437</v>
      </c>
      <c r="C409" s="187" t="s">
        <v>1443</v>
      </c>
      <c r="D409" s="117">
        <f t="shared" ref="D409:D414" si="46">D408+1</f>
        <v>352</v>
      </c>
      <c r="E409" s="118"/>
      <c r="F409" s="118" t="s">
        <v>618</v>
      </c>
      <c r="G409" s="9"/>
      <c r="I409" s="229" t="s">
        <v>1697</v>
      </c>
    </row>
    <row r="410" spans="1:9" x14ac:dyDescent="0.25">
      <c r="A410" s="380"/>
      <c r="B410" s="123" t="s">
        <v>1444</v>
      </c>
      <c r="C410" s="187" t="s">
        <v>1449</v>
      </c>
      <c r="D410" s="117">
        <f t="shared" si="46"/>
        <v>353</v>
      </c>
      <c r="E410" s="118"/>
      <c r="F410" s="118"/>
      <c r="G410" s="9"/>
      <c r="I410" s="229" t="s">
        <v>1697</v>
      </c>
    </row>
    <row r="411" spans="1:9" x14ac:dyDescent="0.25">
      <c r="A411" s="380"/>
      <c r="B411" s="123" t="s">
        <v>1438</v>
      </c>
      <c r="C411" s="187" t="s">
        <v>1451</v>
      </c>
      <c r="D411" s="117">
        <f t="shared" si="46"/>
        <v>354</v>
      </c>
      <c r="E411" s="118"/>
      <c r="F411" s="118" t="s">
        <v>618</v>
      </c>
      <c r="G411" s="9"/>
      <c r="I411" s="229" t="s">
        <v>1697</v>
      </c>
    </row>
    <row r="412" spans="1:9" x14ac:dyDescent="0.25">
      <c r="A412" s="380"/>
      <c r="B412" s="123" t="s">
        <v>1445</v>
      </c>
      <c r="C412" s="187" t="s">
        <v>1450</v>
      </c>
      <c r="D412" s="117">
        <f t="shared" si="46"/>
        <v>355</v>
      </c>
      <c r="E412" s="118"/>
      <c r="F412" s="118"/>
      <c r="G412" s="9"/>
      <c r="I412" s="229" t="s">
        <v>1697</v>
      </c>
    </row>
    <row r="413" spans="1:9" x14ac:dyDescent="0.25">
      <c r="A413" s="380"/>
      <c r="B413" s="123" t="s">
        <v>1439</v>
      </c>
      <c r="C413" s="187" t="s">
        <v>1452</v>
      </c>
      <c r="D413" s="117">
        <f t="shared" si="46"/>
        <v>356</v>
      </c>
      <c r="E413" s="118"/>
      <c r="F413" s="118" t="s">
        <v>618</v>
      </c>
      <c r="G413" s="9"/>
      <c r="I413" s="229" t="s">
        <v>1697</v>
      </c>
    </row>
    <row r="414" spans="1:9" x14ac:dyDescent="0.25">
      <c r="A414" s="381"/>
      <c r="B414" s="123" t="s">
        <v>1440</v>
      </c>
      <c r="C414" s="187" t="s">
        <v>1741</v>
      </c>
      <c r="D414" s="117">
        <f t="shared" si="46"/>
        <v>357</v>
      </c>
      <c r="E414" s="118"/>
      <c r="F414" s="118"/>
      <c r="G414" s="9"/>
      <c r="I414" s="229" t="s">
        <v>1697</v>
      </c>
    </row>
    <row r="415" spans="1:9" x14ac:dyDescent="0.25">
      <c r="A415" s="332"/>
      <c r="B415" s="183" t="s">
        <v>646</v>
      </c>
      <c r="C415" s="185"/>
      <c r="D415" s="339"/>
      <c r="E415" s="118"/>
      <c r="F415" s="118"/>
      <c r="G415" s="9"/>
    </row>
    <row r="416" spans="1:9" x14ac:dyDescent="0.25">
      <c r="A416" s="376">
        <f>A407+1</f>
        <v>361</v>
      </c>
      <c r="B416" s="123" t="s">
        <v>143</v>
      </c>
      <c r="C416" s="123" t="s">
        <v>495</v>
      </c>
      <c r="D416" s="117">
        <f>D414+1</f>
        <v>358</v>
      </c>
      <c r="E416" s="118">
        <f t="shared" si="44"/>
        <v>1</v>
      </c>
      <c r="F416" s="118"/>
      <c r="G416" s="9">
        <v>1</v>
      </c>
      <c r="H416" s="89"/>
    </row>
    <row r="417" spans="1:8" x14ac:dyDescent="0.25">
      <c r="A417" s="377"/>
      <c r="B417" s="123" t="s">
        <v>144</v>
      </c>
      <c r="C417" s="123" t="s">
        <v>496</v>
      </c>
      <c r="D417" s="117">
        <f>D416+1</f>
        <v>359</v>
      </c>
      <c r="E417" s="118">
        <f t="shared" si="44"/>
        <v>0</v>
      </c>
      <c r="F417" s="118"/>
      <c r="G417" s="9">
        <v>0</v>
      </c>
      <c r="H417" s="89"/>
    </row>
    <row r="418" spans="1:8" x14ac:dyDescent="0.25">
      <c r="A418" s="377"/>
      <c r="B418" s="123" t="s">
        <v>145</v>
      </c>
      <c r="C418" s="123" t="s">
        <v>497</v>
      </c>
      <c r="D418" s="117">
        <f t="shared" ref="D418:D435" si="47">D417+1</f>
        <v>360</v>
      </c>
      <c r="E418" s="118">
        <f t="shared" si="44"/>
        <v>0</v>
      </c>
      <c r="F418" s="118"/>
      <c r="G418" s="9">
        <v>0</v>
      </c>
      <c r="H418" s="89"/>
    </row>
    <row r="419" spans="1:8" x14ac:dyDescent="0.25">
      <c r="A419" s="377"/>
      <c r="B419" s="123" t="s">
        <v>146</v>
      </c>
      <c r="C419" s="123" t="s">
        <v>498</v>
      </c>
      <c r="D419" s="117">
        <f t="shared" si="47"/>
        <v>361</v>
      </c>
      <c r="E419" s="118">
        <f t="shared" si="44"/>
        <v>0</v>
      </c>
      <c r="F419" s="118"/>
      <c r="G419" s="9">
        <v>0</v>
      </c>
      <c r="H419" s="89"/>
    </row>
    <row r="420" spans="1:8" x14ac:dyDescent="0.25">
      <c r="A420" s="377"/>
      <c r="B420" s="123" t="s">
        <v>147</v>
      </c>
      <c r="C420" s="123" t="s">
        <v>499</v>
      </c>
      <c r="D420" s="117">
        <f t="shared" si="47"/>
        <v>362</v>
      </c>
      <c r="E420" s="118">
        <f t="shared" si="44"/>
        <v>1</v>
      </c>
      <c r="F420" s="118"/>
      <c r="G420" s="9">
        <v>1</v>
      </c>
      <c r="H420" s="89"/>
    </row>
    <row r="421" spans="1:8" x14ac:dyDescent="0.25">
      <c r="A421" s="377"/>
      <c r="B421" s="123" t="s">
        <v>148</v>
      </c>
      <c r="C421" s="123" t="s">
        <v>500</v>
      </c>
      <c r="D421" s="117">
        <f t="shared" si="47"/>
        <v>363</v>
      </c>
      <c r="E421" s="118">
        <f t="shared" si="44"/>
        <v>1</v>
      </c>
      <c r="F421" s="118"/>
      <c r="G421" s="9">
        <v>1</v>
      </c>
      <c r="H421" s="89"/>
    </row>
    <row r="422" spans="1:8" x14ac:dyDescent="0.25">
      <c r="A422" s="377"/>
      <c r="B422" s="123" t="s">
        <v>149</v>
      </c>
      <c r="C422" s="123" t="s">
        <v>501</v>
      </c>
      <c r="D422" s="117">
        <f t="shared" si="47"/>
        <v>364</v>
      </c>
      <c r="E422" s="118">
        <f t="shared" si="44"/>
        <v>1</v>
      </c>
      <c r="F422" s="118"/>
      <c r="G422" s="9">
        <v>1</v>
      </c>
      <c r="H422" s="89"/>
    </row>
    <row r="423" spans="1:8" x14ac:dyDescent="0.25">
      <c r="A423" s="377"/>
      <c r="B423" s="123" t="s">
        <v>150</v>
      </c>
      <c r="C423" s="123" t="s">
        <v>502</v>
      </c>
      <c r="D423" s="117">
        <f t="shared" si="47"/>
        <v>365</v>
      </c>
      <c r="E423" s="118">
        <f t="shared" si="44"/>
        <v>1</v>
      </c>
      <c r="F423" s="118"/>
      <c r="G423" s="9">
        <v>1</v>
      </c>
      <c r="H423" s="89"/>
    </row>
    <row r="424" spans="1:8" x14ac:dyDescent="0.25">
      <c r="A424" s="377"/>
      <c r="B424" s="204" t="s">
        <v>151</v>
      </c>
      <c r="C424" s="123" t="s">
        <v>503</v>
      </c>
      <c r="D424" s="117">
        <f t="shared" si="47"/>
        <v>366</v>
      </c>
      <c r="E424" s="118">
        <f t="shared" si="44"/>
        <v>0</v>
      </c>
      <c r="F424" s="118"/>
      <c r="G424" s="9">
        <v>0</v>
      </c>
      <c r="H424" s="89"/>
    </row>
    <row r="425" spans="1:8" x14ac:dyDescent="0.25">
      <c r="A425" s="378"/>
      <c r="B425" s="205"/>
      <c r="C425" s="123" t="s">
        <v>504</v>
      </c>
      <c r="D425" s="117">
        <f t="shared" si="47"/>
        <v>367</v>
      </c>
      <c r="E425" s="118" t="str">
        <f t="shared" si="44"/>
        <v>-</v>
      </c>
      <c r="F425" s="118"/>
      <c r="G425" s="9" t="s">
        <v>1344</v>
      </c>
      <c r="H425" s="89"/>
    </row>
    <row r="426" spans="1:8" x14ac:dyDescent="0.25">
      <c r="A426" s="104">
        <f>A416+1</f>
        <v>362</v>
      </c>
      <c r="B426" s="123" t="s">
        <v>152</v>
      </c>
      <c r="C426" s="123" t="s">
        <v>505</v>
      </c>
      <c r="D426" s="117">
        <f t="shared" si="47"/>
        <v>368</v>
      </c>
      <c r="E426" s="118">
        <f t="shared" si="44"/>
        <v>1</v>
      </c>
      <c r="F426" s="118"/>
      <c r="G426" s="9">
        <v>1</v>
      </c>
      <c r="H426" s="89"/>
    </row>
    <row r="427" spans="1:8" x14ac:dyDescent="0.25">
      <c r="A427" s="376">
        <f>A426+1</f>
        <v>363</v>
      </c>
      <c r="B427" s="123" t="s">
        <v>153</v>
      </c>
      <c r="C427" s="123" t="s">
        <v>506</v>
      </c>
      <c r="D427" s="117">
        <f t="shared" si="47"/>
        <v>369</v>
      </c>
      <c r="E427" s="118">
        <f t="shared" si="44"/>
        <v>0</v>
      </c>
      <c r="F427" s="118"/>
      <c r="G427" s="9">
        <v>0</v>
      </c>
      <c r="H427" s="89"/>
    </row>
    <row r="428" spans="1:8" x14ac:dyDescent="0.25">
      <c r="A428" s="377"/>
      <c r="B428" s="123" t="s">
        <v>154</v>
      </c>
      <c r="C428" s="123" t="s">
        <v>507</v>
      </c>
      <c r="D428" s="117">
        <f t="shared" si="47"/>
        <v>370</v>
      </c>
      <c r="E428" s="118">
        <f t="shared" si="44"/>
        <v>0</v>
      </c>
      <c r="F428" s="118"/>
      <c r="G428" s="9">
        <v>0</v>
      </c>
      <c r="H428" s="89"/>
    </row>
    <row r="429" spans="1:8" x14ac:dyDescent="0.25">
      <c r="A429" s="377"/>
      <c r="B429" s="123" t="s">
        <v>155</v>
      </c>
      <c r="C429" s="123" t="s">
        <v>508</v>
      </c>
      <c r="D429" s="117">
        <f t="shared" si="47"/>
        <v>371</v>
      </c>
      <c r="E429" s="118">
        <f t="shared" si="44"/>
        <v>1</v>
      </c>
      <c r="F429" s="118"/>
      <c r="G429" s="9">
        <v>1</v>
      </c>
      <c r="H429" s="89"/>
    </row>
    <row r="430" spans="1:8" x14ac:dyDescent="0.25">
      <c r="A430" s="377"/>
      <c r="B430" s="123" t="s">
        <v>156</v>
      </c>
      <c r="C430" s="123" t="s">
        <v>509</v>
      </c>
      <c r="D430" s="117">
        <f t="shared" si="47"/>
        <v>372</v>
      </c>
      <c r="E430" s="118">
        <f t="shared" si="44"/>
        <v>1</v>
      </c>
      <c r="F430" s="118"/>
      <c r="G430" s="9">
        <v>1</v>
      </c>
      <c r="H430" s="89"/>
    </row>
    <row r="431" spans="1:8" x14ac:dyDescent="0.25">
      <c r="A431" s="377"/>
      <c r="B431" s="123" t="s">
        <v>157</v>
      </c>
      <c r="C431" s="123" t="s">
        <v>510</v>
      </c>
      <c r="D431" s="117">
        <f t="shared" si="47"/>
        <v>373</v>
      </c>
      <c r="E431" s="118">
        <f t="shared" si="44"/>
        <v>1</v>
      </c>
      <c r="F431" s="118"/>
      <c r="G431" s="9">
        <v>1</v>
      </c>
      <c r="H431" s="89"/>
    </row>
    <row r="432" spans="1:8" x14ac:dyDescent="0.25">
      <c r="A432" s="377"/>
      <c r="B432" s="123" t="s">
        <v>158</v>
      </c>
      <c r="C432" s="123" t="s">
        <v>511</v>
      </c>
      <c r="D432" s="117">
        <f t="shared" si="47"/>
        <v>374</v>
      </c>
      <c r="E432" s="118">
        <f t="shared" si="44"/>
        <v>1</v>
      </c>
      <c r="F432" s="118"/>
      <c r="G432" s="9">
        <v>1</v>
      </c>
      <c r="H432" s="89"/>
    </row>
    <row r="433" spans="1:9" x14ac:dyDescent="0.25">
      <c r="A433" s="377"/>
      <c r="B433" s="123" t="s">
        <v>159</v>
      </c>
      <c r="C433" s="123" t="s">
        <v>512</v>
      </c>
      <c r="D433" s="117">
        <f t="shared" si="47"/>
        <v>375</v>
      </c>
      <c r="E433" s="118">
        <f t="shared" si="44"/>
        <v>1</v>
      </c>
      <c r="F433" s="118"/>
      <c r="G433" s="9">
        <v>1</v>
      </c>
      <c r="H433" s="89"/>
    </row>
    <row r="434" spans="1:9" x14ac:dyDescent="0.25">
      <c r="A434" s="377"/>
      <c r="B434" s="204" t="s">
        <v>160</v>
      </c>
      <c r="C434" s="123" t="s">
        <v>513</v>
      </c>
      <c r="D434" s="117">
        <f t="shared" si="47"/>
        <v>376</v>
      </c>
      <c r="E434" s="118">
        <f t="shared" si="44"/>
        <v>0</v>
      </c>
      <c r="F434" s="118"/>
      <c r="G434" s="9">
        <v>0</v>
      </c>
      <c r="H434" s="89"/>
    </row>
    <row r="435" spans="1:9" x14ac:dyDescent="0.25">
      <c r="A435" s="378"/>
      <c r="B435" s="205"/>
      <c r="C435" s="123" t="s">
        <v>514</v>
      </c>
      <c r="D435" s="117">
        <f t="shared" si="47"/>
        <v>377</v>
      </c>
      <c r="E435" s="118" t="str">
        <f t="shared" si="44"/>
        <v>-</v>
      </c>
      <c r="F435" s="118"/>
      <c r="G435" s="9" t="s">
        <v>1344</v>
      </c>
      <c r="H435" s="89"/>
    </row>
    <row r="436" spans="1:9" x14ac:dyDescent="0.25">
      <c r="A436" s="104"/>
      <c r="B436" s="183" t="s">
        <v>647</v>
      </c>
      <c r="C436" s="185"/>
      <c r="D436" s="339"/>
      <c r="E436" s="118"/>
      <c r="F436" s="118"/>
      <c r="G436" s="9"/>
    </row>
    <row r="437" spans="1:9" x14ac:dyDescent="0.25">
      <c r="A437" s="376">
        <f>A427+1</f>
        <v>364</v>
      </c>
      <c r="B437" s="123" t="s">
        <v>1453</v>
      </c>
      <c r="C437" s="123" t="s">
        <v>515</v>
      </c>
      <c r="D437" s="117">
        <f>D435+1</f>
        <v>378</v>
      </c>
      <c r="E437" s="118">
        <f t="shared" si="44"/>
        <v>1</v>
      </c>
      <c r="F437" s="118"/>
      <c r="G437" s="9">
        <v>1</v>
      </c>
      <c r="H437" s="89"/>
    </row>
    <row r="438" spans="1:9" x14ac:dyDescent="0.25">
      <c r="A438" s="377"/>
      <c r="B438" s="123" t="s">
        <v>1454</v>
      </c>
      <c r="C438" s="123" t="s">
        <v>1458</v>
      </c>
      <c r="D438" s="117">
        <f>D437+1</f>
        <v>379</v>
      </c>
      <c r="E438" s="118"/>
      <c r="F438" s="118" t="s">
        <v>618</v>
      </c>
      <c r="G438" s="9"/>
      <c r="H438" s="89"/>
      <c r="I438" s="229" t="s">
        <v>1697</v>
      </c>
    </row>
    <row r="439" spans="1:9" x14ac:dyDescent="0.25">
      <c r="A439" s="377"/>
      <c r="B439" s="123" t="s">
        <v>1455</v>
      </c>
      <c r="C439" s="123" t="s">
        <v>1459</v>
      </c>
      <c r="D439" s="117">
        <f t="shared" ref="D439:D444" si="48">D438+1</f>
        <v>380</v>
      </c>
      <c r="E439" s="118"/>
      <c r="F439" s="118" t="s">
        <v>618</v>
      </c>
      <c r="G439" s="9"/>
      <c r="H439" s="89"/>
      <c r="I439" s="229" t="s">
        <v>1697</v>
      </c>
    </row>
    <row r="440" spans="1:9" x14ac:dyDescent="0.25">
      <c r="A440" s="377"/>
      <c r="B440" s="123" t="s">
        <v>1456</v>
      </c>
      <c r="C440" s="123" t="s">
        <v>1460</v>
      </c>
      <c r="D440" s="117">
        <f t="shared" si="48"/>
        <v>381</v>
      </c>
      <c r="E440" s="118"/>
      <c r="F440" s="118" t="s">
        <v>618</v>
      </c>
      <c r="G440" s="9"/>
      <c r="H440" s="89"/>
      <c r="I440" s="229" t="s">
        <v>1697</v>
      </c>
    </row>
    <row r="441" spans="1:9" x14ac:dyDescent="0.25">
      <c r="A441" s="378"/>
      <c r="B441" s="123" t="s">
        <v>1457</v>
      </c>
      <c r="C441" s="123" t="s">
        <v>1461</v>
      </c>
      <c r="D441" s="117">
        <f t="shared" si="48"/>
        <v>382</v>
      </c>
      <c r="E441" s="118"/>
      <c r="F441" s="118" t="s">
        <v>618</v>
      </c>
      <c r="G441" s="9"/>
      <c r="H441" s="89"/>
      <c r="I441" s="229" t="s">
        <v>1697</v>
      </c>
    </row>
    <row r="442" spans="1:9" x14ac:dyDescent="0.25">
      <c r="A442" s="104">
        <f>A437+1</f>
        <v>365</v>
      </c>
      <c r="B442" s="123" t="s">
        <v>161</v>
      </c>
      <c r="C442" s="123" t="s">
        <v>516</v>
      </c>
      <c r="D442" s="117">
        <f t="shared" si="48"/>
        <v>383</v>
      </c>
      <c r="E442" s="118">
        <f t="shared" si="44"/>
        <v>2</v>
      </c>
      <c r="F442" s="118"/>
      <c r="G442" s="9">
        <v>2</v>
      </c>
      <c r="H442" s="89"/>
    </row>
    <row r="443" spans="1:9" x14ac:dyDescent="0.25">
      <c r="A443" s="104">
        <f t="shared" ref="A443:A444" si="49">A442+1</f>
        <v>366</v>
      </c>
      <c r="B443" s="123" t="s">
        <v>162</v>
      </c>
      <c r="C443" s="123" t="s">
        <v>517</v>
      </c>
      <c r="D443" s="117">
        <f t="shared" si="48"/>
        <v>384</v>
      </c>
      <c r="E443" s="118">
        <f t="shared" si="44"/>
        <v>1</v>
      </c>
      <c r="F443" s="118"/>
      <c r="G443" s="9">
        <v>1</v>
      </c>
      <c r="H443" s="89"/>
    </row>
    <row r="444" spans="1:9" x14ac:dyDescent="0.25">
      <c r="A444" s="104">
        <f t="shared" si="49"/>
        <v>367</v>
      </c>
      <c r="B444" s="123" t="s">
        <v>163</v>
      </c>
      <c r="C444" s="123" t="s">
        <v>518</v>
      </c>
      <c r="D444" s="117">
        <f t="shared" si="48"/>
        <v>385</v>
      </c>
      <c r="E444" s="118">
        <f t="shared" si="44"/>
        <v>1</v>
      </c>
      <c r="F444" s="118"/>
      <c r="G444" s="9">
        <v>1</v>
      </c>
      <c r="H444" s="89"/>
    </row>
    <row r="445" spans="1:9" x14ac:dyDescent="0.25">
      <c r="A445" s="104"/>
      <c r="B445" s="183" t="s">
        <v>648</v>
      </c>
      <c r="C445" s="185"/>
      <c r="D445" s="339"/>
      <c r="E445" s="118"/>
      <c r="F445" s="118"/>
      <c r="G445" s="9"/>
    </row>
    <row r="446" spans="1:9" x14ac:dyDescent="0.25">
      <c r="A446" s="376">
        <f>A444+1</f>
        <v>368</v>
      </c>
      <c r="B446" s="123" t="s">
        <v>649</v>
      </c>
      <c r="C446" s="123" t="s">
        <v>519</v>
      </c>
      <c r="D446" s="117">
        <f>D444+1</f>
        <v>386</v>
      </c>
      <c r="E446" s="118">
        <f t="shared" si="44"/>
        <v>2179</v>
      </c>
      <c r="F446" s="118" t="s">
        <v>618</v>
      </c>
      <c r="G446" s="12">
        <v>2179</v>
      </c>
      <c r="H446" s="89"/>
    </row>
    <row r="447" spans="1:9" x14ac:dyDescent="0.25">
      <c r="A447" s="378"/>
      <c r="B447" s="123" t="s">
        <v>650</v>
      </c>
      <c r="C447" s="123" t="s">
        <v>520</v>
      </c>
      <c r="D447" s="117">
        <f>D446+1</f>
        <v>387</v>
      </c>
      <c r="E447" s="118">
        <f t="shared" si="44"/>
        <v>0</v>
      </c>
      <c r="F447" s="118" t="s">
        <v>618</v>
      </c>
      <c r="G447" s="12">
        <v>0</v>
      </c>
      <c r="H447" s="89"/>
    </row>
    <row r="448" spans="1:9" x14ac:dyDescent="0.25">
      <c r="A448" s="104">
        <f>A446+1</f>
        <v>369</v>
      </c>
      <c r="B448" s="123" t="s">
        <v>164</v>
      </c>
      <c r="C448" s="123" t="s">
        <v>521</v>
      </c>
      <c r="D448" s="117">
        <f t="shared" ref="D448:D456" si="50">D447+1</f>
        <v>388</v>
      </c>
      <c r="E448" s="118">
        <f t="shared" si="44"/>
        <v>0</v>
      </c>
      <c r="F448" s="118" t="s">
        <v>618</v>
      </c>
      <c r="G448" s="12">
        <v>0</v>
      </c>
      <c r="H448" s="89"/>
    </row>
    <row r="449" spans="1:9" x14ac:dyDescent="0.25">
      <c r="A449" s="377">
        <f>A448+1</f>
        <v>370</v>
      </c>
      <c r="B449" s="123" t="s">
        <v>1717</v>
      </c>
      <c r="C449" s="123" t="s">
        <v>1462</v>
      </c>
      <c r="D449" s="117">
        <f t="shared" si="50"/>
        <v>389</v>
      </c>
      <c r="E449" s="118">
        <f t="shared" si="44"/>
        <v>1</v>
      </c>
      <c r="F449" s="118" t="s">
        <v>618</v>
      </c>
      <c r="G449" s="12">
        <v>1</v>
      </c>
      <c r="H449" s="89"/>
      <c r="I449" s="229" t="s">
        <v>1697</v>
      </c>
    </row>
    <row r="450" spans="1:9" x14ac:dyDescent="0.25">
      <c r="A450" s="377"/>
      <c r="B450" s="123" t="s">
        <v>1718</v>
      </c>
      <c r="C450" s="123" t="s">
        <v>1463</v>
      </c>
      <c r="D450" s="117">
        <f t="shared" si="50"/>
        <v>390</v>
      </c>
      <c r="E450" s="118">
        <f t="shared" si="44"/>
        <v>1</v>
      </c>
      <c r="F450" s="118" t="s">
        <v>618</v>
      </c>
      <c r="G450" s="12">
        <v>1</v>
      </c>
      <c r="H450" s="89"/>
      <c r="I450" s="229" t="s">
        <v>1697</v>
      </c>
    </row>
    <row r="451" spans="1:9" x14ac:dyDescent="0.25">
      <c r="A451" s="377"/>
      <c r="B451" s="123" t="s">
        <v>1719</v>
      </c>
      <c r="C451" s="123" t="s">
        <v>1464</v>
      </c>
      <c r="D451" s="117">
        <f t="shared" si="50"/>
        <v>391</v>
      </c>
      <c r="E451" s="118">
        <f t="shared" si="44"/>
        <v>1</v>
      </c>
      <c r="F451" s="118" t="s">
        <v>618</v>
      </c>
      <c r="G451" s="12">
        <v>1</v>
      </c>
      <c r="H451" s="89"/>
      <c r="I451" s="229" t="s">
        <v>1697</v>
      </c>
    </row>
    <row r="452" spans="1:9" x14ac:dyDescent="0.25">
      <c r="A452" s="377"/>
      <c r="B452" s="123" t="s">
        <v>1720</v>
      </c>
      <c r="C452" s="123" t="s">
        <v>1465</v>
      </c>
      <c r="D452" s="117">
        <f t="shared" si="50"/>
        <v>392</v>
      </c>
      <c r="E452" s="118">
        <f t="shared" si="44"/>
        <v>1</v>
      </c>
      <c r="F452" s="118" t="s">
        <v>618</v>
      </c>
      <c r="G452" s="12">
        <v>1</v>
      </c>
      <c r="H452" s="89"/>
      <c r="I452" s="229" t="s">
        <v>1697</v>
      </c>
    </row>
    <row r="453" spans="1:9" x14ac:dyDescent="0.25">
      <c r="A453" s="377"/>
      <c r="B453" s="123" t="s">
        <v>1721</v>
      </c>
      <c r="C453" s="123" t="s">
        <v>1466</v>
      </c>
      <c r="D453" s="117">
        <f t="shared" si="50"/>
        <v>393</v>
      </c>
      <c r="E453" s="118">
        <f t="shared" si="44"/>
        <v>1</v>
      </c>
      <c r="F453" s="118" t="s">
        <v>618</v>
      </c>
      <c r="G453" s="12">
        <v>1</v>
      </c>
      <c r="H453" s="89"/>
      <c r="I453" s="229" t="s">
        <v>1697</v>
      </c>
    </row>
    <row r="454" spans="1:9" x14ac:dyDescent="0.25">
      <c r="A454" s="377"/>
      <c r="B454" s="123" t="s">
        <v>1722</v>
      </c>
      <c r="C454" s="123" t="s">
        <v>1467</v>
      </c>
      <c r="D454" s="117">
        <f t="shared" si="50"/>
        <v>394</v>
      </c>
      <c r="E454" s="118">
        <f t="shared" si="44"/>
        <v>1</v>
      </c>
      <c r="F454" s="118" t="s">
        <v>618</v>
      </c>
      <c r="G454" s="12">
        <v>1</v>
      </c>
      <c r="H454" s="89"/>
      <c r="I454" s="229" t="s">
        <v>1697</v>
      </c>
    </row>
    <row r="455" spans="1:9" x14ac:dyDescent="0.25">
      <c r="A455" s="377"/>
      <c r="B455" s="123" t="s">
        <v>1723</v>
      </c>
      <c r="C455" s="123" t="s">
        <v>1468</v>
      </c>
      <c r="D455" s="117">
        <f t="shared" si="50"/>
        <v>395</v>
      </c>
      <c r="E455" s="118">
        <f t="shared" si="44"/>
        <v>1</v>
      </c>
      <c r="F455" s="118" t="s">
        <v>618</v>
      </c>
      <c r="G455" s="12">
        <v>1</v>
      </c>
      <c r="H455" s="89"/>
      <c r="I455" s="229" t="s">
        <v>1697</v>
      </c>
    </row>
    <row r="456" spans="1:9" x14ac:dyDescent="0.25">
      <c r="A456" s="377"/>
      <c r="B456" s="125" t="s">
        <v>1724</v>
      </c>
      <c r="C456" s="125" t="s">
        <v>522</v>
      </c>
      <c r="D456" s="117">
        <f t="shared" si="50"/>
        <v>396</v>
      </c>
      <c r="E456" s="207">
        <f>G456</f>
        <v>7</v>
      </c>
      <c r="F456" s="207"/>
      <c r="G456" s="209">
        <f>G457</f>
        <v>7</v>
      </c>
      <c r="H456" s="89"/>
      <c r="I456" s="229" t="s">
        <v>1697</v>
      </c>
    </row>
    <row r="457" spans="1:9" x14ac:dyDescent="0.25">
      <c r="A457" s="377"/>
      <c r="B457" s="125" t="s">
        <v>1724</v>
      </c>
      <c r="C457" s="125" t="s">
        <v>522</v>
      </c>
      <c r="D457" s="355" t="s">
        <v>1123</v>
      </c>
      <c r="E457" s="118">
        <f>G457</f>
        <v>7</v>
      </c>
      <c r="F457" s="118"/>
      <c r="G457" s="9">
        <f>COUNTIF(G449:G455,"&gt;0")</f>
        <v>7</v>
      </c>
      <c r="H457" s="89"/>
      <c r="I457" s="229" t="s">
        <v>1697</v>
      </c>
    </row>
    <row r="458" spans="1:9" x14ac:dyDescent="0.25">
      <c r="A458" s="376">
        <f>A449+1</f>
        <v>371</v>
      </c>
      <c r="B458" s="128" t="s">
        <v>1415</v>
      </c>
      <c r="C458" s="123" t="s">
        <v>1113</v>
      </c>
      <c r="D458" s="117">
        <f>D456+1</f>
        <v>397</v>
      </c>
      <c r="E458" s="129">
        <f>G458</f>
        <v>1</v>
      </c>
      <c r="F458" s="130"/>
      <c r="G458" s="9">
        <v>1</v>
      </c>
      <c r="H458" s="89"/>
    </row>
    <row r="459" spans="1:9" x14ac:dyDescent="0.25">
      <c r="A459" s="377"/>
      <c r="B459" s="128" t="s">
        <v>1414</v>
      </c>
      <c r="C459" s="123" t="s">
        <v>1469</v>
      </c>
      <c r="D459" s="117">
        <f>D458+1</f>
        <v>398</v>
      </c>
      <c r="E459" s="129"/>
      <c r="F459" s="130"/>
      <c r="G459" s="9"/>
      <c r="H459" s="89"/>
      <c r="I459" s="229" t="s">
        <v>1697</v>
      </c>
    </row>
    <row r="460" spans="1:9" x14ac:dyDescent="0.25">
      <c r="A460" s="377"/>
      <c r="B460" s="128" t="s">
        <v>1470</v>
      </c>
      <c r="C460" s="123" t="s">
        <v>1472</v>
      </c>
      <c r="D460" s="117">
        <f>D459+1</f>
        <v>399</v>
      </c>
      <c r="E460" s="129"/>
      <c r="F460" s="130"/>
      <c r="G460" s="9"/>
      <c r="H460" s="89"/>
      <c r="I460" s="229" t="s">
        <v>1697</v>
      </c>
    </row>
    <row r="461" spans="1:9" x14ac:dyDescent="0.25">
      <c r="A461" s="378"/>
      <c r="B461" s="128" t="s">
        <v>1471</v>
      </c>
      <c r="C461" s="123" t="s">
        <v>1473</v>
      </c>
      <c r="D461" s="117">
        <f>D460+1</f>
        <v>400</v>
      </c>
      <c r="E461" s="129"/>
      <c r="F461" s="130"/>
      <c r="G461" s="9"/>
      <c r="H461" s="89"/>
      <c r="I461" s="229" t="s">
        <v>1697</v>
      </c>
    </row>
    <row r="462" spans="1:9" x14ac:dyDescent="0.25">
      <c r="A462" s="104"/>
      <c r="B462" s="349" t="s">
        <v>651</v>
      </c>
      <c r="C462" s="350"/>
      <c r="D462" s="339"/>
      <c r="E462" s="118"/>
      <c r="F462" s="118"/>
      <c r="G462" s="9"/>
    </row>
    <row r="463" spans="1:9" x14ac:dyDescent="0.25">
      <c r="A463" s="104">
        <f>A458+1</f>
        <v>372</v>
      </c>
      <c r="B463" s="123" t="s">
        <v>165</v>
      </c>
      <c r="C463" s="123" t="s">
        <v>523</v>
      </c>
      <c r="D463" s="117">
        <f>D458+1</f>
        <v>398</v>
      </c>
      <c r="E463" s="118">
        <f t="shared" si="44"/>
        <v>2</v>
      </c>
      <c r="F463" s="118"/>
      <c r="G463" s="9">
        <v>2</v>
      </c>
      <c r="H463" s="89"/>
    </row>
    <row r="464" spans="1:9" x14ac:dyDescent="0.25">
      <c r="A464" s="376">
        <f>A463+1</f>
        <v>373</v>
      </c>
      <c r="B464" s="123" t="s">
        <v>652</v>
      </c>
      <c r="C464" s="123" t="s">
        <v>524</v>
      </c>
      <c r="D464" s="117">
        <f>D463+1</f>
        <v>399</v>
      </c>
      <c r="E464" s="118">
        <f t="shared" si="44"/>
        <v>1</v>
      </c>
      <c r="F464" s="118"/>
      <c r="G464" s="9">
        <v>1</v>
      </c>
      <c r="H464" s="89"/>
    </row>
    <row r="465" spans="1:9" x14ac:dyDescent="0.25">
      <c r="A465" s="377"/>
      <c r="B465" s="123" t="s">
        <v>653</v>
      </c>
      <c r="C465" s="123" t="s">
        <v>525</v>
      </c>
      <c r="D465" s="117">
        <f t="shared" ref="D465:D480" si="51">D464+1</f>
        <v>400</v>
      </c>
      <c r="E465" s="118">
        <f t="shared" si="44"/>
        <v>1</v>
      </c>
      <c r="F465" s="118"/>
      <c r="G465" s="9">
        <v>1</v>
      </c>
      <c r="H465" s="89"/>
    </row>
    <row r="466" spans="1:9" x14ac:dyDescent="0.25">
      <c r="A466" s="377"/>
      <c r="B466" s="123" t="s">
        <v>654</v>
      </c>
      <c r="C466" s="123" t="s">
        <v>902</v>
      </c>
      <c r="D466" s="117">
        <f t="shared" si="51"/>
        <v>401</v>
      </c>
      <c r="E466" s="118">
        <f t="shared" si="44"/>
        <v>1</v>
      </c>
      <c r="F466" s="118"/>
      <c r="G466" s="9">
        <v>1</v>
      </c>
      <c r="H466" s="89"/>
    </row>
    <row r="467" spans="1:9" x14ac:dyDescent="0.25">
      <c r="A467" s="377"/>
      <c r="B467" s="204" t="s">
        <v>655</v>
      </c>
      <c r="C467" s="123" t="s">
        <v>526</v>
      </c>
      <c r="D467" s="117">
        <f t="shared" si="51"/>
        <v>402</v>
      </c>
      <c r="E467" s="118">
        <f t="shared" si="44"/>
        <v>0</v>
      </c>
      <c r="F467" s="118"/>
      <c r="G467" s="9">
        <v>0</v>
      </c>
      <c r="H467" s="89"/>
    </row>
    <row r="468" spans="1:9" x14ac:dyDescent="0.25">
      <c r="A468" s="378"/>
      <c r="B468" s="205"/>
      <c r="C468" s="123" t="s">
        <v>527</v>
      </c>
      <c r="D468" s="117">
        <f t="shared" si="51"/>
        <v>403</v>
      </c>
      <c r="E468" s="118" t="str">
        <f t="shared" si="44"/>
        <v>-</v>
      </c>
      <c r="F468" s="118"/>
      <c r="G468" s="9" t="s">
        <v>1344</v>
      </c>
      <c r="H468" s="89"/>
    </row>
    <row r="469" spans="1:9" x14ac:dyDescent="0.25">
      <c r="A469" s="104">
        <f>A464+1</f>
        <v>374</v>
      </c>
      <c r="B469" s="123" t="s">
        <v>166</v>
      </c>
      <c r="C469" s="123" t="s">
        <v>528</v>
      </c>
      <c r="D469" s="117">
        <f t="shared" si="51"/>
        <v>404</v>
      </c>
      <c r="E469" s="118">
        <f t="shared" si="44"/>
        <v>1</v>
      </c>
      <c r="F469" s="118"/>
      <c r="G469" s="9">
        <v>1</v>
      </c>
      <c r="H469" s="89"/>
    </row>
    <row r="470" spans="1:9" x14ac:dyDescent="0.25">
      <c r="A470" s="104">
        <f>A469+1</f>
        <v>375</v>
      </c>
      <c r="B470" s="123" t="s">
        <v>167</v>
      </c>
      <c r="C470" s="123" t="s">
        <v>529</v>
      </c>
      <c r="D470" s="117">
        <f t="shared" si="51"/>
        <v>405</v>
      </c>
      <c r="E470" s="118">
        <f t="shared" si="44"/>
        <v>1</v>
      </c>
      <c r="F470" s="118"/>
      <c r="G470" s="9">
        <v>1</v>
      </c>
      <c r="H470" s="89"/>
    </row>
    <row r="471" spans="1:9" x14ac:dyDescent="0.25">
      <c r="A471" s="104">
        <f t="shared" ref="A471:A473" si="52">A470+1</f>
        <v>376</v>
      </c>
      <c r="B471" s="123" t="s">
        <v>168</v>
      </c>
      <c r="C471" s="123" t="s">
        <v>530</v>
      </c>
      <c r="D471" s="117">
        <f t="shared" si="51"/>
        <v>406</v>
      </c>
      <c r="E471" s="118">
        <f t="shared" si="44"/>
        <v>1</v>
      </c>
      <c r="F471" s="118"/>
      <c r="G471" s="9">
        <v>1</v>
      </c>
      <c r="H471" s="89"/>
    </row>
    <row r="472" spans="1:9" x14ac:dyDescent="0.25">
      <c r="A472" s="104">
        <f t="shared" si="52"/>
        <v>377</v>
      </c>
      <c r="B472" s="123" t="s">
        <v>169</v>
      </c>
      <c r="C472" s="123" t="s">
        <v>531</v>
      </c>
      <c r="D472" s="117">
        <f t="shared" si="51"/>
        <v>407</v>
      </c>
      <c r="E472" s="118">
        <f t="shared" si="44"/>
        <v>1</v>
      </c>
      <c r="F472" s="118"/>
      <c r="G472" s="9">
        <v>1</v>
      </c>
      <c r="H472" s="89"/>
    </row>
    <row r="473" spans="1:9" x14ac:dyDescent="0.25">
      <c r="A473" s="104">
        <f t="shared" si="52"/>
        <v>378</v>
      </c>
      <c r="B473" s="123" t="s">
        <v>170</v>
      </c>
      <c r="C473" s="123" t="s">
        <v>532</v>
      </c>
      <c r="D473" s="117">
        <f t="shared" si="51"/>
        <v>408</v>
      </c>
      <c r="E473" s="118">
        <f t="shared" si="44"/>
        <v>1</v>
      </c>
      <c r="F473" s="118"/>
      <c r="G473" s="9">
        <v>1</v>
      </c>
      <c r="H473" s="89"/>
    </row>
    <row r="474" spans="1:9" x14ac:dyDescent="0.25">
      <c r="A474" s="376">
        <f>A473+1</f>
        <v>379</v>
      </c>
      <c r="B474" s="123" t="s">
        <v>1135</v>
      </c>
      <c r="C474" s="123" t="s">
        <v>533</v>
      </c>
      <c r="D474" s="117">
        <f t="shared" si="51"/>
        <v>409</v>
      </c>
      <c r="E474" s="118">
        <f t="shared" si="44"/>
        <v>1</v>
      </c>
      <c r="F474" s="118"/>
      <c r="G474" s="9">
        <v>1</v>
      </c>
      <c r="H474" s="89"/>
    </row>
    <row r="475" spans="1:9" x14ac:dyDescent="0.25">
      <c r="A475" s="377"/>
      <c r="B475" s="123" t="s">
        <v>1136</v>
      </c>
      <c r="C475" s="123" t="s">
        <v>534</v>
      </c>
      <c r="D475" s="117">
        <f t="shared" si="51"/>
        <v>410</v>
      </c>
      <c r="E475" s="118">
        <f t="shared" ref="E475:E613" si="53">G475</f>
        <v>1</v>
      </c>
      <c r="F475" s="118"/>
      <c r="G475" s="9">
        <v>1</v>
      </c>
      <c r="H475" s="89"/>
    </row>
    <row r="476" spans="1:9" x14ac:dyDescent="0.25">
      <c r="A476" s="377"/>
      <c r="B476" s="204" t="s">
        <v>1137</v>
      </c>
      <c r="C476" s="123" t="s">
        <v>535</v>
      </c>
      <c r="D476" s="117">
        <f t="shared" si="51"/>
        <v>411</v>
      </c>
      <c r="E476" s="118">
        <f t="shared" si="53"/>
        <v>0</v>
      </c>
      <c r="F476" s="118"/>
      <c r="G476" s="9">
        <v>0</v>
      </c>
      <c r="H476" s="89"/>
    </row>
    <row r="477" spans="1:9" x14ac:dyDescent="0.25">
      <c r="A477" s="378"/>
      <c r="B477" s="205"/>
      <c r="C477" s="123" t="s">
        <v>536</v>
      </c>
      <c r="D477" s="117">
        <f t="shared" si="51"/>
        <v>412</v>
      </c>
      <c r="E477" s="118" t="str">
        <f t="shared" si="53"/>
        <v>-</v>
      </c>
      <c r="F477" s="118"/>
      <c r="G477" s="9" t="s">
        <v>1344</v>
      </c>
      <c r="H477" s="89"/>
    </row>
    <row r="478" spans="1:9" x14ac:dyDescent="0.25">
      <c r="A478" s="104">
        <f>A474+1</f>
        <v>380</v>
      </c>
      <c r="B478" s="123" t="s">
        <v>1474</v>
      </c>
      <c r="C478" s="123" t="s">
        <v>1475</v>
      </c>
      <c r="D478" s="117">
        <f t="shared" si="51"/>
        <v>413</v>
      </c>
      <c r="E478" s="118"/>
      <c r="F478" s="118"/>
      <c r="G478" s="9">
        <v>1</v>
      </c>
      <c r="H478" s="89"/>
      <c r="I478" s="229" t="s">
        <v>1697</v>
      </c>
    </row>
    <row r="479" spans="1:9" x14ac:dyDescent="0.25">
      <c r="A479" s="104">
        <f>A478+1</f>
        <v>381</v>
      </c>
      <c r="B479" s="123" t="s">
        <v>1476</v>
      </c>
      <c r="C479" s="123" t="s">
        <v>1477</v>
      </c>
      <c r="D479" s="117">
        <f t="shared" si="51"/>
        <v>414</v>
      </c>
      <c r="E479" s="118"/>
      <c r="F479" s="118"/>
      <c r="G479" s="9">
        <v>1</v>
      </c>
      <c r="H479" s="89"/>
      <c r="I479" s="229" t="s">
        <v>1697</v>
      </c>
    </row>
    <row r="480" spans="1:9" x14ac:dyDescent="0.25">
      <c r="A480" s="104">
        <f>A479+1</f>
        <v>382</v>
      </c>
      <c r="B480" s="123" t="s">
        <v>1698</v>
      </c>
      <c r="C480" s="123" t="s">
        <v>1478</v>
      </c>
      <c r="D480" s="117">
        <f t="shared" si="51"/>
        <v>415</v>
      </c>
      <c r="E480" s="118"/>
      <c r="F480" s="118" t="s">
        <v>644</v>
      </c>
      <c r="G480" s="9">
        <v>12</v>
      </c>
      <c r="H480" s="89"/>
      <c r="I480" s="229" t="s">
        <v>1697</v>
      </c>
    </row>
    <row r="481" spans="1:9" x14ac:dyDescent="0.25">
      <c r="A481" s="398" t="s">
        <v>656</v>
      </c>
      <c r="B481" s="399"/>
      <c r="C481" s="400"/>
      <c r="D481" s="339"/>
      <c r="E481" s="118"/>
      <c r="F481" s="118"/>
      <c r="G481" s="9"/>
    </row>
    <row r="482" spans="1:9" x14ac:dyDescent="0.25">
      <c r="A482" s="190"/>
      <c r="B482" s="191" t="s">
        <v>657</v>
      </c>
      <c r="C482" s="192"/>
      <c r="D482" s="339"/>
      <c r="E482" s="118"/>
      <c r="F482" s="152"/>
      <c r="G482" s="9"/>
    </row>
    <row r="483" spans="1:9" x14ac:dyDescent="0.25">
      <c r="A483" s="105">
        <v>401</v>
      </c>
      <c r="B483" s="131" t="s">
        <v>172</v>
      </c>
      <c r="C483" s="131" t="s">
        <v>537</v>
      </c>
      <c r="D483" s="117">
        <f>D480+1</f>
        <v>416</v>
      </c>
      <c r="E483" s="118">
        <f t="shared" si="53"/>
        <v>1</v>
      </c>
      <c r="F483" s="118"/>
      <c r="G483" s="9">
        <v>1</v>
      </c>
      <c r="H483" s="89"/>
    </row>
    <row r="484" spans="1:9" x14ac:dyDescent="0.25">
      <c r="A484" s="105">
        <f>A483+1</f>
        <v>402</v>
      </c>
      <c r="B484" s="131" t="s">
        <v>173</v>
      </c>
      <c r="C484" s="131" t="s">
        <v>538</v>
      </c>
      <c r="D484" s="117">
        <f>D483+1</f>
        <v>417</v>
      </c>
      <c r="E484" s="118">
        <f t="shared" si="53"/>
        <v>1</v>
      </c>
      <c r="F484" s="118"/>
      <c r="G484" s="9">
        <v>1</v>
      </c>
      <c r="H484" s="89"/>
    </row>
    <row r="485" spans="1:9" x14ac:dyDescent="0.25">
      <c r="A485" s="105">
        <f>A484+1</f>
        <v>403</v>
      </c>
      <c r="B485" s="131" t="s">
        <v>903</v>
      </c>
      <c r="C485" s="131" t="s">
        <v>539</v>
      </c>
      <c r="D485" s="117">
        <f t="shared" ref="D485:D494" si="54">D484+1</f>
        <v>418</v>
      </c>
      <c r="E485" s="118">
        <f t="shared" si="53"/>
        <v>1</v>
      </c>
      <c r="F485" s="118"/>
      <c r="G485" s="9">
        <v>1</v>
      </c>
      <c r="H485" s="89"/>
    </row>
    <row r="486" spans="1:9" x14ac:dyDescent="0.25">
      <c r="A486" s="382">
        <f>A485+1</f>
        <v>404</v>
      </c>
      <c r="B486" s="131" t="s">
        <v>174</v>
      </c>
      <c r="C486" s="131" t="s">
        <v>540</v>
      </c>
      <c r="D486" s="117">
        <f t="shared" si="54"/>
        <v>419</v>
      </c>
      <c r="E486" s="118">
        <f t="shared" si="53"/>
        <v>0</v>
      </c>
      <c r="F486" s="118"/>
      <c r="G486" s="9">
        <v>0</v>
      </c>
      <c r="H486" s="89"/>
    </row>
    <row r="487" spans="1:9" x14ac:dyDescent="0.25">
      <c r="A487" s="384"/>
      <c r="B487" s="131" t="s">
        <v>904</v>
      </c>
      <c r="C487" s="131" t="s">
        <v>541</v>
      </c>
      <c r="D487" s="117">
        <f t="shared" si="54"/>
        <v>420</v>
      </c>
      <c r="E487" s="118">
        <f t="shared" si="53"/>
        <v>0</v>
      </c>
      <c r="F487" s="118"/>
      <c r="G487" s="9">
        <v>0</v>
      </c>
      <c r="H487" s="89"/>
    </row>
    <row r="488" spans="1:9" x14ac:dyDescent="0.25">
      <c r="A488" s="383">
        <f>A486+1</f>
        <v>405</v>
      </c>
      <c r="B488" s="131" t="s">
        <v>1416</v>
      </c>
      <c r="C488" s="131" t="s">
        <v>1479</v>
      </c>
      <c r="D488" s="117">
        <f t="shared" si="54"/>
        <v>421</v>
      </c>
      <c r="E488" s="118">
        <f t="shared" si="53"/>
        <v>1</v>
      </c>
      <c r="F488" s="118" t="s">
        <v>628</v>
      </c>
      <c r="G488" s="9">
        <v>1</v>
      </c>
      <c r="H488" s="89"/>
      <c r="I488" s="229" t="s">
        <v>1697</v>
      </c>
    </row>
    <row r="489" spans="1:9" x14ac:dyDescent="0.25">
      <c r="A489" s="383"/>
      <c r="B489" s="131" t="s">
        <v>1417</v>
      </c>
      <c r="C489" s="131" t="s">
        <v>1480</v>
      </c>
      <c r="D489" s="117">
        <f t="shared" si="54"/>
        <v>422</v>
      </c>
      <c r="E489" s="118">
        <f t="shared" si="53"/>
        <v>1</v>
      </c>
      <c r="F489" s="118" t="s">
        <v>628</v>
      </c>
      <c r="G489" s="9">
        <v>1</v>
      </c>
      <c r="H489" s="89"/>
      <c r="I489" s="229" t="s">
        <v>1697</v>
      </c>
    </row>
    <row r="490" spans="1:9" x14ac:dyDescent="0.25">
      <c r="A490" s="383"/>
      <c r="B490" s="131" t="s">
        <v>1418</v>
      </c>
      <c r="C490" s="131" t="s">
        <v>1481</v>
      </c>
      <c r="D490" s="117">
        <f t="shared" si="54"/>
        <v>423</v>
      </c>
      <c r="E490" s="118">
        <f t="shared" si="53"/>
        <v>1</v>
      </c>
      <c r="F490" s="118" t="s">
        <v>628</v>
      </c>
      <c r="G490" s="9">
        <v>1</v>
      </c>
      <c r="H490" s="89"/>
      <c r="I490" s="229" t="s">
        <v>1697</v>
      </c>
    </row>
    <row r="491" spans="1:9" x14ac:dyDescent="0.25">
      <c r="A491" s="383"/>
      <c r="B491" s="131" t="s">
        <v>1419</v>
      </c>
      <c r="C491" s="131" t="s">
        <v>1482</v>
      </c>
      <c r="D491" s="117">
        <f t="shared" si="54"/>
        <v>424</v>
      </c>
      <c r="E491" s="118">
        <f t="shared" si="53"/>
        <v>1</v>
      </c>
      <c r="F491" s="118" t="s">
        <v>628</v>
      </c>
      <c r="G491" s="9">
        <v>1</v>
      </c>
      <c r="H491" s="89"/>
      <c r="I491" s="229" t="s">
        <v>1697</v>
      </c>
    </row>
    <row r="492" spans="1:9" x14ac:dyDescent="0.25">
      <c r="A492" s="383"/>
      <c r="B492" s="131" t="s">
        <v>1420</v>
      </c>
      <c r="C492" s="131" t="s">
        <v>1483</v>
      </c>
      <c r="D492" s="117">
        <f t="shared" si="54"/>
        <v>425</v>
      </c>
      <c r="E492" s="118">
        <f t="shared" si="53"/>
        <v>1</v>
      </c>
      <c r="F492" s="118" t="s">
        <v>628</v>
      </c>
      <c r="G492" s="9">
        <v>1</v>
      </c>
      <c r="H492" s="89"/>
      <c r="I492" s="229" t="s">
        <v>1697</v>
      </c>
    </row>
    <row r="493" spans="1:9" x14ac:dyDescent="0.25">
      <c r="A493" s="383"/>
      <c r="B493" s="131" t="s">
        <v>1484</v>
      </c>
      <c r="C493" s="131" t="s">
        <v>1485</v>
      </c>
      <c r="D493" s="117">
        <f t="shared" si="54"/>
        <v>426</v>
      </c>
      <c r="E493" s="118">
        <f t="shared" si="53"/>
        <v>1</v>
      </c>
      <c r="F493" s="118" t="s">
        <v>628</v>
      </c>
      <c r="G493" s="9">
        <v>1</v>
      </c>
      <c r="H493" s="89"/>
      <c r="I493" s="229" t="s">
        <v>1697</v>
      </c>
    </row>
    <row r="494" spans="1:9" x14ac:dyDescent="0.25">
      <c r="A494" s="383"/>
      <c r="B494" s="125" t="s">
        <v>1487</v>
      </c>
      <c r="C494" s="125" t="s">
        <v>1486</v>
      </c>
      <c r="D494" s="117">
        <f t="shared" si="54"/>
        <v>427</v>
      </c>
      <c r="E494" s="207"/>
      <c r="F494" s="207" t="s">
        <v>628</v>
      </c>
      <c r="G494" s="209">
        <f>G495</f>
        <v>6</v>
      </c>
      <c r="H494" s="89"/>
      <c r="I494" s="229" t="s">
        <v>1697</v>
      </c>
    </row>
    <row r="495" spans="1:9" x14ac:dyDescent="0.25">
      <c r="A495" s="383"/>
      <c r="B495" s="125" t="s">
        <v>1487</v>
      </c>
      <c r="C495" s="125" t="s">
        <v>1486</v>
      </c>
      <c r="D495" s="355" t="s">
        <v>1123</v>
      </c>
      <c r="E495" s="118"/>
      <c r="F495" s="118"/>
      <c r="G495" s="11">
        <f>SUM(G488:G493)</f>
        <v>6</v>
      </c>
      <c r="H495" s="89"/>
      <c r="I495" s="229" t="s">
        <v>1697</v>
      </c>
    </row>
    <row r="496" spans="1:9" x14ac:dyDescent="0.25">
      <c r="A496" s="384"/>
      <c r="B496" s="131" t="s">
        <v>1488</v>
      </c>
      <c r="C496" s="131" t="s">
        <v>542</v>
      </c>
      <c r="D496" s="117">
        <f>D494+1</f>
        <v>428</v>
      </c>
      <c r="E496" s="118">
        <f t="shared" si="53"/>
        <v>0</v>
      </c>
      <c r="F496" s="118" t="s">
        <v>628</v>
      </c>
      <c r="G496" s="9"/>
      <c r="H496" s="89"/>
    </row>
    <row r="497" spans="1:9" x14ac:dyDescent="0.25">
      <c r="A497" s="346"/>
      <c r="B497" s="191" t="s">
        <v>1421</v>
      </c>
      <c r="C497" s="347"/>
      <c r="D497" s="129"/>
      <c r="E497" s="118"/>
      <c r="F497" s="118"/>
      <c r="G497" s="9"/>
      <c r="H497" s="89"/>
      <c r="I497" s="229" t="s">
        <v>1697</v>
      </c>
    </row>
    <row r="498" spans="1:9" x14ac:dyDescent="0.25">
      <c r="A498" s="382">
        <f>A488+1</f>
        <v>406</v>
      </c>
      <c r="B498" s="131" t="s">
        <v>1422</v>
      </c>
      <c r="C498" s="131" t="s">
        <v>1489</v>
      </c>
      <c r="D498" s="117">
        <f>D496+1</f>
        <v>429</v>
      </c>
      <c r="E498" s="118"/>
      <c r="F498" s="118"/>
      <c r="G498" s="9">
        <v>1</v>
      </c>
      <c r="H498" s="89"/>
      <c r="I498" s="229" t="s">
        <v>1697</v>
      </c>
    </row>
    <row r="499" spans="1:9" x14ac:dyDescent="0.25">
      <c r="A499" s="383"/>
      <c r="B499" s="131" t="s">
        <v>1423</v>
      </c>
      <c r="C499" s="131" t="s">
        <v>1492</v>
      </c>
      <c r="D499" s="117">
        <f>D498+1</f>
        <v>430</v>
      </c>
      <c r="E499" s="118"/>
      <c r="F499" s="118" t="s">
        <v>628</v>
      </c>
      <c r="G499" s="9">
        <v>5</v>
      </c>
      <c r="H499" s="89"/>
      <c r="I499" s="229" t="s">
        <v>1697</v>
      </c>
    </row>
    <row r="500" spans="1:9" x14ac:dyDescent="0.25">
      <c r="A500" s="383"/>
      <c r="B500" s="131" t="s">
        <v>1424</v>
      </c>
      <c r="C500" s="131" t="s">
        <v>1490</v>
      </c>
      <c r="D500" s="117">
        <f>D499+1</f>
        <v>431</v>
      </c>
      <c r="E500" s="118"/>
      <c r="F500" s="118"/>
      <c r="G500" s="9">
        <v>1</v>
      </c>
      <c r="H500" s="89"/>
      <c r="I500" s="229" t="s">
        <v>1697</v>
      </c>
    </row>
    <row r="501" spans="1:9" x14ac:dyDescent="0.25">
      <c r="A501" s="383"/>
      <c r="B501" s="131" t="s">
        <v>1425</v>
      </c>
      <c r="C501" s="131" t="s">
        <v>1493</v>
      </c>
      <c r="D501" s="117">
        <f>D500+1</f>
        <v>432</v>
      </c>
      <c r="E501" s="118"/>
      <c r="F501" s="118" t="s">
        <v>628</v>
      </c>
      <c r="G501" s="9">
        <v>5</v>
      </c>
      <c r="H501" s="89"/>
      <c r="I501" s="229" t="s">
        <v>1697</v>
      </c>
    </row>
    <row r="502" spans="1:9" x14ac:dyDescent="0.25">
      <c r="A502" s="383"/>
      <c r="B502" s="131" t="s">
        <v>1426</v>
      </c>
      <c r="C502" s="131" t="s">
        <v>1491</v>
      </c>
      <c r="D502" s="117">
        <f>D501+1</f>
        <v>433</v>
      </c>
      <c r="E502" s="118"/>
      <c r="F502" s="118"/>
      <c r="G502" s="9">
        <v>1</v>
      </c>
      <c r="H502" s="89"/>
      <c r="I502" s="229" t="s">
        <v>1697</v>
      </c>
    </row>
    <row r="503" spans="1:9" x14ac:dyDescent="0.25">
      <c r="A503" s="384"/>
      <c r="B503" s="131" t="s">
        <v>1427</v>
      </c>
      <c r="C503" s="131" t="s">
        <v>1494</v>
      </c>
      <c r="D503" s="117">
        <f>D502+1</f>
        <v>434</v>
      </c>
      <c r="E503" s="118"/>
      <c r="F503" s="118" t="s">
        <v>628</v>
      </c>
      <c r="G503" s="9">
        <v>5</v>
      </c>
      <c r="H503" s="89"/>
      <c r="I503" s="229" t="s">
        <v>1697</v>
      </c>
    </row>
    <row r="504" spans="1:9" x14ac:dyDescent="0.25">
      <c r="A504" s="105"/>
      <c r="B504" s="191" t="s">
        <v>658</v>
      </c>
      <c r="C504" s="192"/>
      <c r="D504" s="339"/>
      <c r="E504" s="118"/>
      <c r="F504" s="118"/>
      <c r="G504" s="9"/>
    </row>
    <row r="505" spans="1:9" x14ac:dyDescent="0.25">
      <c r="A505" s="382">
        <f>A486+1</f>
        <v>405</v>
      </c>
      <c r="B505" s="131" t="s">
        <v>175</v>
      </c>
      <c r="C505" s="131" t="s">
        <v>543</v>
      </c>
      <c r="D505" s="117">
        <f>D503+1</f>
        <v>435</v>
      </c>
      <c r="E505" s="118">
        <f t="shared" si="53"/>
        <v>1</v>
      </c>
      <c r="F505" s="118"/>
      <c r="G505" s="9">
        <v>1</v>
      </c>
      <c r="H505" s="89"/>
    </row>
    <row r="506" spans="1:9" x14ac:dyDescent="0.25">
      <c r="A506" s="384"/>
      <c r="B506" s="131" t="s">
        <v>176</v>
      </c>
      <c r="C506" s="131" t="s">
        <v>544</v>
      </c>
      <c r="D506" s="117">
        <f>D505+1</f>
        <v>436</v>
      </c>
      <c r="E506" s="118">
        <f t="shared" si="53"/>
        <v>20</v>
      </c>
      <c r="F506" s="118" t="s">
        <v>644</v>
      </c>
      <c r="G506" s="93">
        <v>20</v>
      </c>
      <c r="H506" s="89"/>
    </row>
    <row r="507" spans="1:9" x14ac:dyDescent="0.25">
      <c r="A507" s="105">
        <f>A505+1</f>
        <v>406</v>
      </c>
      <c r="B507" s="131" t="s">
        <v>177</v>
      </c>
      <c r="C507" s="131" t="s">
        <v>545</v>
      </c>
      <c r="D507" s="117">
        <f t="shared" ref="D507:D519" si="55">D506+1</f>
        <v>437</v>
      </c>
      <c r="E507" s="118">
        <f t="shared" si="53"/>
        <v>0</v>
      </c>
      <c r="F507" s="118" t="s">
        <v>628</v>
      </c>
      <c r="G507" s="9">
        <v>0</v>
      </c>
      <c r="H507" s="89"/>
    </row>
    <row r="508" spans="1:9" x14ac:dyDescent="0.25">
      <c r="A508" s="105">
        <f>A507+1</f>
        <v>407</v>
      </c>
      <c r="B508" s="131" t="s">
        <v>178</v>
      </c>
      <c r="C508" s="131" t="s">
        <v>546</v>
      </c>
      <c r="D508" s="117">
        <f t="shared" si="55"/>
        <v>438</v>
      </c>
      <c r="E508" s="118">
        <f t="shared" si="53"/>
        <v>0</v>
      </c>
      <c r="F508" s="118" t="s">
        <v>628</v>
      </c>
      <c r="G508" s="9">
        <v>0</v>
      </c>
      <c r="H508" s="89"/>
    </row>
    <row r="509" spans="1:9" x14ac:dyDescent="0.25">
      <c r="A509" s="382">
        <f>A508+1</f>
        <v>408</v>
      </c>
      <c r="B509" s="131" t="s">
        <v>179</v>
      </c>
      <c r="C509" s="131" t="s">
        <v>547</v>
      </c>
      <c r="D509" s="117">
        <f t="shared" si="55"/>
        <v>439</v>
      </c>
      <c r="E509" s="118">
        <f t="shared" si="53"/>
        <v>0</v>
      </c>
      <c r="F509" s="118"/>
      <c r="G509" s="9">
        <v>0</v>
      </c>
      <c r="H509" s="89"/>
    </row>
    <row r="510" spans="1:9" x14ac:dyDescent="0.25">
      <c r="A510" s="384"/>
      <c r="B510" s="131" t="s">
        <v>180</v>
      </c>
      <c r="C510" s="131" t="s">
        <v>548</v>
      </c>
      <c r="D510" s="117">
        <f t="shared" si="55"/>
        <v>440</v>
      </c>
      <c r="E510" s="118">
        <f t="shared" si="53"/>
        <v>20</v>
      </c>
      <c r="F510" s="118" t="s">
        <v>628</v>
      </c>
      <c r="G510" s="9">
        <v>20</v>
      </c>
      <c r="H510" s="89"/>
    </row>
    <row r="511" spans="1:9" x14ac:dyDescent="0.25">
      <c r="A511" s="105">
        <f>A509+1</f>
        <v>409</v>
      </c>
      <c r="B511" s="131" t="s">
        <v>181</v>
      </c>
      <c r="C511" s="131" t="s">
        <v>549</v>
      </c>
      <c r="D511" s="117">
        <f t="shared" si="55"/>
        <v>441</v>
      </c>
      <c r="E511" s="118">
        <f t="shared" si="53"/>
        <v>97</v>
      </c>
      <c r="F511" s="118" t="s">
        <v>628</v>
      </c>
      <c r="G511" s="9">
        <v>97</v>
      </c>
      <c r="H511" s="89"/>
    </row>
    <row r="512" spans="1:9" x14ac:dyDescent="0.25">
      <c r="A512" s="105">
        <f>A511+1</f>
        <v>410</v>
      </c>
      <c r="B512" s="131" t="s">
        <v>182</v>
      </c>
      <c r="C512" s="131" t="s">
        <v>550</v>
      </c>
      <c r="D512" s="117">
        <f t="shared" si="55"/>
        <v>442</v>
      </c>
      <c r="E512" s="118">
        <f t="shared" si="53"/>
        <v>1</v>
      </c>
      <c r="F512" s="118"/>
      <c r="G512" s="9">
        <v>1</v>
      </c>
      <c r="H512" s="89"/>
    </row>
    <row r="513" spans="1:8" x14ac:dyDescent="0.25">
      <c r="A513" s="382">
        <f>A512+1</f>
        <v>411</v>
      </c>
      <c r="B513" s="131" t="s">
        <v>183</v>
      </c>
      <c r="C513" s="131" t="s">
        <v>551</v>
      </c>
      <c r="D513" s="117">
        <f t="shared" si="55"/>
        <v>443</v>
      </c>
      <c r="E513" s="118">
        <f t="shared" si="53"/>
        <v>0</v>
      </c>
      <c r="F513" s="118"/>
      <c r="G513" s="9">
        <v>0</v>
      </c>
      <c r="H513" s="89"/>
    </row>
    <row r="514" spans="1:8" x14ac:dyDescent="0.25">
      <c r="A514" s="383"/>
      <c r="B514" s="131" t="s">
        <v>184</v>
      </c>
      <c r="C514" s="131" t="s">
        <v>552</v>
      </c>
      <c r="D514" s="117">
        <f t="shared" si="55"/>
        <v>444</v>
      </c>
      <c r="E514" s="328">
        <f t="shared" si="53"/>
        <v>0</v>
      </c>
      <c r="F514" s="118" t="s">
        <v>623</v>
      </c>
      <c r="G514" s="325">
        <v>0</v>
      </c>
      <c r="H514" s="89"/>
    </row>
    <row r="515" spans="1:8" x14ac:dyDescent="0.25">
      <c r="A515" s="384"/>
      <c r="B515" s="131" t="s">
        <v>185</v>
      </c>
      <c r="C515" s="131" t="s">
        <v>553</v>
      </c>
      <c r="D515" s="117">
        <f t="shared" si="55"/>
        <v>445</v>
      </c>
      <c r="E515" s="118">
        <f t="shared" si="53"/>
        <v>0</v>
      </c>
      <c r="F515" s="118" t="s">
        <v>622</v>
      </c>
      <c r="G515" s="9">
        <v>0</v>
      </c>
      <c r="H515" s="89"/>
    </row>
    <row r="516" spans="1:8" x14ac:dyDescent="0.25">
      <c r="A516" s="105">
        <f>A513+1</f>
        <v>412</v>
      </c>
      <c r="B516" s="132" t="s">
        <v>1115</v>
      </c>
      <c r="C516" s="131" t="s">
        <v>1116</v>
      </c>
      <c r="D516" s="117">
        <f t="shared" si="55"/>
        <v>446</v>
      </c>
      <c r="E516" s="118">
        <f>G516</f>
        <v>0</v>
      </c>
      <c r="F516" s="118"/>
      <c r="G516" s="9">
        <v>0</v>
      </c>
      <c r="H516" s="89"/>
    </row>
    <row r="517" spans="1:8" x14ac:dyDescent="0.25">
      <c r="A517" s="105">
        <f>A516+1</f>
        <v>413</v>
      </c>
      <c r="B517" s="132" t="s">
        <v>1114</v>
      </c>
      <c r="C517" s="131" t="s">
        <v>1117</v>
      </c>
      <c r="D517" s="117">
        <f t="shared" si="55"/>
        <v>447</v>
      </c>
      <c r="E517" s="118">
        <f t="shared" ref="E517:E518" si="56">G517</f>
        <v>1</v>
      </c>
      <c r="F517" s="118"/>
      <c r="G517" s="9">
        <v>1</v>
      </c>
      <c r="H517" s="89"/>
    </row>
    <row r="518" spans="1:8" x14ac:dyDescent="0.25">
      <c r="A518" s="105">
        <f>A517+1</f>
        <v>414</v>
      </c>
      <c r="B518" s="132" t="s">
        <v>1121</v>
      </c>
      <c r="C518" s="131" t="s">
        <v>1118</v>
      </c>
      <c r="D518" s="117">
        <f t="shared" si="55"/>
        <v>448</v>
      </c>
      <c r="E518" s="118">
        <f t="shared" si="56"/>
        <v>3</v>
      </c>
      <c r="F518" s="118"/>
      <c r="G518" s="9">
        <v>3</v>
      </c>
      <c r="H518" s="89"/>
    </row>
    <row r="519" spans="1:8" x14ac:dyDescent="0.25">
      <c r="A519" s="105">
        <f>A518+1</f>
        <v>415</v>
      </c>
      <c r="B519" s="132" t="s">
        <v>1119</v>
      </c>
      <c r="C519" s="131" t="s">
        <v>1120</v>
      </c>
      <c r="D519" s="117">
        <f t="shared" si="55"/>
        <v>449</v>
      </c>
      <c r="E519" s="118" t="str">
        <f>G519</f>
        <v>KAYU</v>
      </c>
      <c r="F519" s="118"/>
      <c r="G519" s="9" t="s">
        <v>1362</v>
      </c>
      <c r="H519" s="89"/>
    </row>
    <row r="520" spans="1:8" x14ac:dyDescent="0.25">
      <c r="A520" s="105"/>
      <c r="B520" s="191" t="s">
        <v>659</v>
      </c>
      <c r="C520" s="192"/>
      <c r="D520" s="339"/>
      <c r="E520" s="118"/>
      <c r="F520" s="118"/>
      <c r="G520" s="9"/>
    </row>
    <row r="521" spans="1:8" x14ac:dyDescent="0.25">
      <c r="A521" s="382">
        <f>A519+1</f>
        <v>416</v>
      </c>
      <c r="B521" s="162" t="s">
        <v>186</v>
      </c>
      <c r="C521" s="131" t="s">
        <v>554</v>
      </c>
      <c r="D521" s="117">
        <f>D519+1</f>
        <v>450</v>
      </c>
      <c r="E521" s="118">
        <f t="shared" si="53"/>
        <v>0</v>
      </c>
      <c r="F521" s="118"/>
      <c r="G521" s="9">
        <v>0</v>
      </c>
      <c r="H521" s="89"/>
    </row>
    <row r="522" spans="1:8" x14ac:dyDescent="0.25">
      <c r="A522" s="384"/>
      <c r="B522" s="163"/>
      <c r="C522" s="131" t="s">
        <v>555</v>
      </c>
      <c r="D522" s="117">
        <f>D521+1</f>
        <v>451</v>
      </c>
      <c r="E522" s="328">
        <f t="shared" si="53"/>
        <v>0</v>
      </c>
      <c r="F522" s="118" t="s">
        <v>623</v>
      </c>
      <c r="G522" s="325">
        <v>0</v>
      </c>
      <c r="H522" s="89"/>
    </row>
    <row r="523" spans="1:8" x14ac:dyDescent="0.25">
      <c r="A523" s="382">
        <f>A521+1</f>
        <v>417</v>
      </c>
      <c r="B523" s="162" t="s">
        <v>1184</v>
      </c>
      <c r="C523" s="131" t="s">
        <v>556</v>
      </c>
      <c r="D523" s="117">
        <f>D522+1</f>
        <v>452</v>
      </c>
      <c r="E523" s="118">
        <f t="shared" si="53"/>
        <v>0</v>
      </c>
      <c r="F523" s="118"/>
      <c r="G523" s="9">
        <v>0</v>
      </c>
      <c r="H523" s="89"/>
    </row>
    <row r="524" spans="1:8" x14ac:dyDescent="0.25">
      <c r="A524" s="384"/>
      <c r="B524" s="163"/>
      <c r="C524" s="131" t="s">
        <v>557</v>
      </c>
      <c r="D524" s="117">
        <f>D523+1</f>
        <v>453</v>
      </c>
      <c r="E524" s="328">
        <f t="shared" si="53"/>
        <v>0</v>
      </c>
      <c r="F524" s="118" t="s">
        <v>623</v>
      </c>
      <c r="G524" s="325">
        <v>0</v>
      </c>
      <c r="H524" s="89"/>
    </row>
    <row r="525" spans="1:8" x14ac:dyDescent="0.25">
      <c r="A525" s="105"/>
      <c r="B525" s="191" t="s">
        <v>660</v>
      </c>
      <c r="C525" s="192"/>
      <c r="D525" s="339"/>
      <c r="E525" s="118"/>
      <c r="F525" s="118"/>
      <c r="G525" s="9"/>
    </row>
    <row r="526" spans="1:8" x14ac:dyDescent="0.25">
      <c r="A526" s="382">
        <f>A523+1</f>
        <v>418</v>
      </c>
      <c r="B526" s="162" t="s">
        <v>905</v>
      </c>
      <c r="C526" s="131" t="s">
        <v>558</v>
      </c>
      <c r="D526" s="117">
        <f>D524+1</f>
        <v>454</v>
      </c>
      <c r="E526" s="118">
        <f t="shared" si="53"/>
        <v>0</v>
      </c>
      <c r="F526" s="118"/>
      <c r="G526" s="9">
        <v>0</v>
      </c>
      <c r="H526" s="89"/>
    </row>
    <row r="527" spans="1:8" x14ac:dyDescent="0.25">
      <c r="A527" s="384"/>
      <c r="B527" s="163"/>
      <c r="C527" s="131" t="s">
        <v>906</v>
      </c>
      <c r="D527" s="117">
        <f>D526+1</f>
        <v>455</v>
      </c>
      <c r="E527" s="328">
        <f t="shared" si="53"/>
        <v>0</v>
      </c>
      <c r="F527" s="118" t="s">
        <v>623</v>
      </c>
      <c r="G527" s="325">
        <v>0</v>
      </c>
      <c r="H527" s="89"/>
    </row>
    <row r="528" spans="1:8" x14ac:dyDescent="0.25">
      <c r="A528" s="382">
        <f>A526+1</f>
        <v>419</v>
      </c>
      <c r="B528" s="162" t="s">
        <v>908</v>
      </c>
      <c r="C528" s="131" t="s">
        <v>559</v>
      </c>
      <c r="D528" s="117">
        <f t="shared" ref="D528:D535" si="57">D527+1</f>
        <v>456</v>
      </c>
      <c r="E528" s="118">
        <f t="shared" si="53"/>
        <v>0</v>
      </c>
      <c r="F528" s="118"/>
      <c r="G528" s="9">
        <v>0</v>
      </c>
      <c r="H528" s="89"/>
    </row>
    <row r="529" spans="1:9" x14ac:dyDescent="0.25">
      <c r="A529" s="384"/>
      <c r="B529" s="163"/>
      <c r="C529" s="131" t="s">
        <v>907</v>
      </c>
      <c r="D529" s="117">
        <f t="shared" si="57"/>
        <v>457</v>
      </c>
      <c r="E529" s="328">
        <f t="shared" si="53"/>
        <v>0</v>
      </c>
      <c r="F529" s="118" t="s">
        <v>623</v>
      </c>
      <c r="G529" s="12">
        <v>0</v>
      </c>
      <c r="H529" s="89"/>
    </row>
    <row r="530" spans="1:9" x14ac:dyDescent="0.25">
      <c r="A530" s="105">
        <f>A528+1</f>
        <v>420</v>
      </c>
      <c r="B530" s="131" t="s">
        <v>187</v>
      </c>
      <c r="C530" s="131" t="s">
        <v>560</v>
      </c>
      <c r="D530" s="117">
        <f t="shared" si="57"/>
        <v>458</v>
      </c>
      <c r="E530" s="118">
        <f t="shared" si="53"/>
        <v>0</v>
      </c>
      <c r="F530" s="118"/>
      <c r="G530" s="9">
        <v>0</v>
      </c>
      <c r="H530" s="89"/>
    </row>
    <row r="531" spans="1:9" x14ac:dyDescent="0.25">
      <c r="A531" s="382">
        <f>A530+1</f>
        <v>421</v>
      </c>
      <c r="B531" s="131" t="s">
        <v>909</v>
      </c>
      <c r="C531" s="131" t="s">
        <v>561</v>
      </c>
      <c r="D531" s="117">
        <f t="shared" si="57"/>
        <v>459</v>
      </c>
      <c r="E531" s="118">
        <f t="shared" si="53"/>
        <v>1</v>
      </c>
      <c r="F531" s="118"/>
      <c r="G531" s="9">
        <v>1</v>
      </c>
      <c r="H531" s="89"/>
    </row>
    <row r="532" spans="1:9" x14ac:dyDescent="0.25">
      <c r="A532" s="383"/>
      <c r="B532" s="131" t="s">
        <v>910</v>
      </c>
      <c r="C532" s="131" t="s">
        <v>562</v>
      </c>
      <c r="D532" s="117">
        <f t="shared" si="57"/>
        <v>460</v>
      </c>
      <c r="E532" s="118">
        <f t="shared" si="53"/>
        <v>0</v>
      </c>
      <c r="F532" s="118"/>
      <c r="G532" s="9">
        <v>0</v>
      </c>
      <c r="H532" s="89"/>
    </row>
    <row r="533" spans="1:9" x14ac:dyDescent="0.25">
      <c r="A533" s="383"/>
      <c r="B533" s="131" t="s">
        <v>911</v>
      </c>
      <c r="C533" s="131" t="s">
        <v>563</v>
      </c>
      <c r="D533" s="117">
        <f t="shared" si="57"/>
        <v>461</v>
      </c>
      <c r="E533" s="118">
        <f t="shared" si="53"/>
        <v>0</v>
      </c>
      <c r="F533" s="118"/>
      <c r="G533" s="9">
        <v>0</v>
      </c>
      <c r="H533" s="89"/>
    </row>
    <row r="534" spans="1:9" x14ac:dyDescent="0.25">
      <c r="A534" s="383"/>
      <c r="B534" s="162" t="s">
        <v>912</v>
      </c>
      <c r="C534" s="131" t="s">
        <v>564</v>
      </c>
      <c r="D534" s="117">
        <f t="shared" si="57"/>
        <v>462</v>
      </c>
      <c r="E534" s="118">
        <f t="shared" si="53"/>
        <v>0</v>
      </c>
      <c r="F534" s="118"/>
      <c r="G534" s="9">
        <v>0</v>
      </c>
      <c r="H534" s="89"/>
    </row>
    <row r="535" spans="1:9" x14ac:dyDescent="0.25">
      <c r="A535" s="384"/>
      <c r="B535" s="163"/>
      <c r="C535" s="131" t="s">
        <v>565</v>
      </c>
      <c r="D535" s="117">
        <f t="shared" si="57"/>
        <v>463</v>
      </c>
      <c r="E535" s="118">
        <f t="shared" si="53"/>
        <v>0</v>
      </c>
      <c r="F535" s="118"/>
      <c r="G535" s="9">
        <v>0</v>
      </c>
      <c r="H535" s="89"/>
    </row>
    <row r="536" spans="1:9" x14ac:dyDescent="0.25">
      <c r="A536" s="105"/>
      <c r="B536" s="191" t="s">
        <v>661</v>
      </c>
      <c r="C536" s="192"/>
      <c r="D536" s="339"/>
      <c r="E536" s="118"/>
      <c r="F536" s="118"/>
      <c r="G536" s="9"/>
    </row>
    <row r="537" spans="1:9" x14ac:dyDescent="0.25">
      <c r="A537" s="105">
        <f>A531+1</f>
        <v>422</v>
      </c>
      <c r="B537" s="131" t="s">
        <v>188</v>
      </c>
      <c r="C537" s="131" t="s">
        <v>566</v>
      </c>
      <c r="D537" s="117">
        <f>D535+1</f>
        <v>464</v>
      </c>
      <c r="E537" s="118">
        <f t="shared" si="53"/>
        <v>1</v>
      </c>
      <c r="F537" s="118" t="s">
        <v>628</v>
      </c>
      <c r="G537" s="9">
        <v>1</v>
      </c>
      <c r="H537" s="89"/>
    </row>
    <row r="538" spans="1:9" x14ac:dyDescent="0.25">
      <c r="A538" s="382">
        <f>A537+1</f>
        <v>423</v>
      </c>
      <c r="B538" s="337" t="s">
        <v>189</v>
      </c>
      <c r="C538" s="131" t="s">
        <v>567</v>
      </c>
      <c r="D538" s="117">
        <f>D537+1</f>
        <v>465</v>
      </c>
      <c r="E538" s="118">
        <f t="shared" si="53"/>
        <v>1</v>
      </c>
      <c r="F538" s="118"/>
      <c r="G538" s="9">
        <v>1</v>
      </c>
      <c r="H538" s="89"/>
    </row>
    <row r="539" spans="1:9" x14ac:dyDescent="0.25">
      <c r="A539" s="383"/>
      <c r="B539" s="131" t="s">
        <v>1036</v>
      </c>
      <c r="C539" s="131" t="s">
        <v>1037</v>
      </c>
      <c r="D539" s="117">
        <f t="shared" ref="D539:D587" si="58">D538+1</f>
        <v>466</v>
      </c>
      <c r="E539" s="118" t="str">
        <f>G539</f>
        <v>SUMBERJAYA ABADI</v>
      </c>
      <c r="F539" s="118"/>
      <c r="G539" s="9" t="s">
        <v>1363</v>
      </c>
      <c r="H539" s="89"/>
    </row>
    <row r="540" spans="1:9" s="344" customFormat="1" x14ac:dyDescent="0.25">
      <c r="A540" s="383"/>
      <c r="B540" s="131" t="s">
        <v>1495</v>
      </c>
      <c r="C540" s="131" t="s">
        <v>1508</v>
      </c>
      <c r="D540" s="117">
        <f t="shared" si="58"/>
        <v>467</v>
      </c>
      <c r="E540" s="118"/>
      <c r="F540" s="118"/>
      <c r="G540" s="9">
        <v>1</v>
      </c>
      <c r="H540" s="89"/>
      <c r="I540" s="373" t="s">
        <v>1697</v>
      </c>
    </row>
    <row r="541" spans="1:9" s="344" customFormat="1" x14ac:dyDescent="0.25">
      <c r="A541" s="383"/>
      <c r="B541" s="131" t="s">
        <v>1496</v>
      </c>
      <c r="C541" s="131" t="s">
        <v>1138</v>
      </c>
      <c r="D541" s="117">
        <f t="shared" si="58"/>
        <v>468</v>
      </c>
      <c r="E541" s="118">
        <f>G541</f>
        <v>1</v>
      </c>
      <c r="F541" s="118"/>
      <c r="G541" s="9">
        <v>1</v>
      </c>
      <c r="H541" s="89"/>
      <c r="I541" s="373" t="s">
        <v>1697</v>
      </c>
    </row>
    <row r="542" spans="1:9" s="344" customFormat="1" x14ac:dyDescent="0.25">
      <c r="A542" s="383"/>
      <c r="B542" s="131" t="s">
        <v>1497</v>
      </c>
      <c r="C542" s="131" t="s">
        <v>1139</v>
      </c>
      <c r="D542" s="117">
        <f t="shared" si="58"/>
        <v>469</v>
      </c>
      <c r="E542" s="118" t="str">
        <f>G542</f>
        <v>CEMARA</v>
      </c>
      <c r="F542" s="118"/>
      <c r="G542" s="9" t="s">
        <v>1364</v>
      </c>
      <c r="H542" s="89"/>
      <c r="I542" s="373"/>
    </row>
    <row r="543" spans="1:9" s="344" customFormat="1" x14ac:dyDescent="0.25">
      <c r="A543" s="383"/>
      <c r="B543" s="131" t="s">
        <v>1498</v>
      </c>
      <c r="C543" s="131" t="s">
        <v>1509</v>
      </c>
      <c r="D543" s="117">
        <f t="shared" si="58"/>
        <v>470</v>
      </c>
      <c r="E543" s="118"/>
      <c r="F543" s="118"/>
      <c r="G543" s="9">
        <v>1</v>
      </c>
      <c r="H543" s="89"/>
      <c r="I543" s="373"/>
    </row>
    <row r="544" spans="1:9" s="344" customFormat="1" x14ac:dyDescent="0.25">
      <c r="A544" s="383"/>
      <c r="B544" s="131" t="s">
        <v>1499</v>
      </c>
      <c r="C544" s="131" t="s">
        <v>1510</v>
      </c>
      <c r="D544" s="117">
        <f t="shared" si="58"/>
        <v>471</v>
      </c>
      <c r="E544" s="118"/>
      <c r="F544" s="118"/>
      <c r="G544" s="9">
        <v>1</v>
      </c>
      <c r="H544" s="89"/>
      <c r="I544" s="373" t="s">
        <v>1697</v>
      </c>
    </row>
    <row r="545" spans="1:9" s="344" customFormat="1" x14ac:dyDescent="0.25">
      <c r="A545" s="383"/>
      <c r="B545" s="337" t="s">
        <v>1500</v>
      </c>
      <c r="C545" s="131" t="s">
        <v>1538</v>
      </c>
      <c r="D545" s="117">
        <f t="shared" si="58"/>
        <v>472</v>
      </c>
      <c r="E545" s="118">
        <f>IF($G$538=1,G545,0)</f>
        <v>0</v>
      </c>
      <c r="F545" s="118"/>
      <c r="G545" s="9">
        <v>0</v>
      </c>
      <c r="H545" s="89"/>
      <c r="I545" s="373" t="s">
        <v>1697</v>
      </c>
    </row>
    <row r="546" spans="1:9" s="344" customFormat="1" x14ac:dyDescent="0.25">
      <c r="A546" s="383"/>
      <c r="B546" s="131" t="s">
        <v>1511</v>
      </c>
      <c r="C546" s="131" t="s">
        <v>1546</v>
      </c>
      <c r="D546" s="117">
        <f t="shared" si="58"/>
        <v>473</v>
      </c>
      <c r="E546" s="118"/>
      <c r="F546" s="118"/>
      <c r="G546" s="9">
        <v>0</v>
      </c>
      <c r="H546" s="89"/>
      <c r="I546" s="373" t="s">
        <v>1697</v>
      </c>
    </row>
    <row r="547" spans="1:9" s="344" customFormat="1" x14ac:dyDescent="0.25">
      <c r="A547" s="383"/>
      <c r="B547" s="131" t="s">
        <v>1512</v>
      </c>
      <c r="C547" s="131" t="s">
        <v>1547</v>
      </c>
      <c r="D547" s="117">
        <f t="shared" si="58"/>
        <v>474</v>
      </c>
      <c r="E547" s="118"/>
      <c r="F547" s="118"/>
      <c r="G547" s="9">
        <v>0</v>
      </c>
      <c r="H547" s="89"/>
      <c r="I547" s="373" t="s">
        <v>1697</v>
      </c>
    </row>
    <row r="548" spans="1:9" s="344" customFormat="1" x14ac:dyDescent="0.25">
      <c r="A548" s="383"/>
      <c r="B548" s="131" t="s">
        <v>1513</v>
      </c>
      <c r="C548" s="131" t="s">
        <v>1548</v>
      </c>
      <c r="D548" s="117">
        <f t="shared" si="58"/>
        <v>475</v>
      </c>
      <c r="E548" s="118"/>
      <c r="F548" s="118"/>
      <c r="G548" s="9">
        <v>0</v>
      </c>
      <c r="H548" s="89"/>
      <c r="I548" s="373" t="s">
        <v>1697</v>
      </c>
    </row>
    <row r="549" spans="1:9" s="344" customFormat="1" x14ac:dyDescent="0.25">
      <c r="A549" s="383"/>
      <c r="B549" s="131" t="s">
        <v>1514</v>
      </c>
      <c r="C549" s="131" t="s">
        <v>1549</v>
      </c>
      <c r="D549" s="117">
        <f t="shared" si="58"/>
        <v>476</v>
      </c>
      <c r="E549" s="118"/>
      <c r="F549" s="118"/>
      <c r="G549" s="9">
        <v>0</v>
      </c>
      <c r="H549" s="89"/>
      <c r="I549" s="373" t="s">
        <v>1697</v>
      </c>
    </row>
    <row r="550" spans="1:9" s="344" customFormat="1" x14ac:dyDescent="0.25">
      <c r="A550" s="383"/>
      <c r="B550" s="337" t="s">
        <v>1501</v>
      </c>
      <c r="C550" s="131" t="s">
        <v>1539</v>
      </c>
      <c r="D550" s="117">
        <f t="shared" si="58"/>
        <v>477</v>
      </c>
      <c r="E550" s="118">
        <f t="shared" ref="E550:E576" si="59">IF($G$538=1,G550,0)</f>
        <v>0</v>
      </c>
      <c r="F550" s="118"/>
      <c r="G550" s="9">
        <v>0</v>
      </c>
      <c r="H550" s="89"/>
      <c r="I550" s="373" t="s">
        <v>1697</v>
      </c>
    </row>
    <row r="551" spans="1:9" s="344" customFormat="1" x14ac:dyDescent="0.25">
      <c r="A551" s="383"/>
      <c r="B551" s="131" t="s">
        <v>1515</v>
      </c>
      <c r="C551" s="131" t="s">
        <v>1550</v>
      </c>
      <c r="D551" s="117">
        <f t="shared" si="58"/>
        <v>478</v>
      </c>
      <c r="E551" s="118"/>
      <c r="F551" s="118"/>
      <c r="G551" s="9">
        <v>0</v>
      </c>
      <c r="H551" s="89"/>
      <c r="I551" s="373" t="s">
        <v>1697</v>
      </c>
    </row>
    <row r="552" spans="1:9" s="344" customFormat="1" x14ac:dyDescent="0.25">
      <c r="A552" s="383"/>
      <c r="B552" s="131" t="s">
        <v>1516</v>
      </c>
      <c r="C552" s="131" t="s">
        <v>1551</v>
      </c>
      <c r="D552" s="117">
        <f t="shared" si="58"/>
        <v>479</v>
      </c>
      <c r="E552" s="118"/>
      <c r="F552" s="118"/>
      <c r="G552" s="9">
        <v>0</v>
      </c>
      <c r="H552" s="89"/>
      <c r="I552" s="373" t="s">
        <v>1697</v>
      </c>
    </row>
    <row r="553" spans="1:9" s="344" customFormat="1" x14ac:dyDescent="0.25">
      <c r="A553" s="383"/>
      <c r="B553" s="337" t="s">
        <v>1502</v>
      </c>
      <c r="C553" s="131" t="s">
        <v>1540</v>
      </c>
      <c r="D553" s="117">
        <f t="shared" si="58"/>
        <v>480</v>
      </c>
      <c r="E553" s="118">
        <f t="shared" si="59"/>
        <v>0</v>
      </c>
      <c r="F553" s="118"/>
      <c r="G553" s="9">
        <v>0</v>
      </c>
      <c r="H553" s="89"/>
      <c r="I553" s="373" t="s">
        <v>1697</v>
      </c>
    </row>
    <row r="554" spans="1:9" s="344" customFormat="1" x14ac:dyDescent="0.25">
      <c r="A554" s="383"/>
      <c r="B554" s="131" t="s">
        <v>1517</v>
      </c>
      <c r="C554" s="131" t="s">
        <v>1552</v>
      </c>
      <c r="D554" s="117">
        <f t="shared" si="58"/>
        <v>481</v>
      </c>
      <c r="E554" s="118"/>
      <c r="F554" s="118"/>
      <c r="G554" s="9">
        <v>0</v>
      </c>
      <c r="H554" s="89"/>
      <c r="I554" s="373" t="s">
        <v>1697</v>
      </c>
    </row>
    <row r="555" spans="1:9" s="344" customFormat="1" x14ac:dyDescent="0.25">
      <c r="A555" s="383"/>
      <c r="B555" s="131" t="s">
        <v>1728</v>
      </c>
      <c r="C555" s="131" t="s">
        <v>1733</v>
      </c>
      <c r="D555" s="117">
        <f t="shared" si="58"/>
        <v>482</v>
      </c>
      <c r="E555" s="118"/>
      <c r="F555" s="118"/>
      <c r="G555" s="9" t="s">
        <v>1736</v>
      </c>
      <c r="H555" s="89"/>
      <c r="I555" s="373" t="s">
        <v>1697</v>
      </c>
    </row>
    <row r="556" spans="1:9" s="344" customFormat="1" x14ac:dyDescent="0.25">
      <c r="A556" s="383"/>
      <c r="B556" s="131" t="s">
        <v>1729</v>
      </c>
      <c r="C556" s="131" t="s">
        <v>1553</v>
      </c>
      <c r="D556" s="117">
        <f t="shared" si="58"/>
        <v>483</v>
      </c>
      <c r="E556" s="118"/>
      <c r="F556" s="118"/>
      <c r="G556" s="9">
        <v>0</v>
      </c>
      <c r="H556" s="89"/>
      <c r="I556" s="373" t="s">
        <v>1697</v>
      </c>
    </row>
    <row r="557" spans="1:9" s="344" customFormat="1" x14ac:dyDescent="0.25">
      <c r="A557" s="383"/>
      <c r="B557" s="131" t="s">
        <v>1730</v>
      </c>
      <c r="C557" s="131" t="s">
        <v>1734</v>
      </c>
      <c r="D557" s="117">
        <f t="shared" si="58"/>
        <v>484</v>
      </c>
      <c r="E557" s="118"/>
      <c r="F557" s="118"/>
      <c r="G557" s="9" t="s">
        <v>1737</v>
      </c>
      <c r="H557" s="89"/>
      <c r="I557" s="373" t="s">
        <v>1697</v>
      </c>
    </row>
    <row r="558" spans="1:9" s="344" customFormat="1" x14ac:dyDescent="0.25">
      <c r="A558" s="383"/>
      <c r="B558" s="131" t="s">
        <v>1731</v>
      </c>
      <c r="C558" s="131" t="s">
        <v>1554</v>
      </c>
      <c r="D558" s="117">
        <f t="shared" si="58"/>
        <v>485</v>
      </c>
      <c r="E558" s="118"/>
      <c r="F558" s="118"/>
      <c r="G558" s="9">
        <v>0</v>
      </c>
      <c r="H558" s="89"/>
      <c r="I558" s="373" t="s">
        <v>1697</v>
      </c>
    </row>
    <row r="559" spans="1:9" s="344" customFormat="1" x14ac:dyDescent="0.25">
      <c r="A559" s="383"/>
      <c r="B559" s="131" t="s">
        <v>1732</v>
      </c>
      <c r="C559" s="131" t="s">
        <v>1735</v>
      </c>
      <c r="D559" s="117">
        <f t="shared" si="58"/>
        <v>486</v>
      </c>
      <c r="E559" s="118"/>
      <c r="F559" s="118"/>
      <c r="G559" s="9" t="s">
        <v>1738</v>
      </c>
      <c r="H559" s="89"/>
      <c r="I559" s="373" t="s">
        <v>1697</v>
      </c>
    </row>
    <row r="560" spans="1:9" s="344" customFormat="1" x14ac:dyDescent="0.25">
      <c r="A560" s="383"/>
      <c r="B560" s="337" t="s">
        <v>1503</v>
      </c>
      <c r="C560" s="131" t="s">
        <v>1541</v>
      </c>
      <c r="D560" s="117">
        <f t="shared" si="58"/>
        <v>487</v>
      </c>
      <c r="E560" s="118">
        <f t="shared" si="59"/>
        <v>0</v>
      </c>
      <c r="F560" s="118"/>
      <c r="G560" s="9">
        <v>0</v>
      </c>
      <c r="H560" s="89"/>
      <c r="I560" s="373" t="s">
        <v>1697</v>
      </c>
    </row>
    <row r="561" spans="1:9" s="344" customFormat="1" x14ac:dyDescent="0.25">
      <c r="A561" s="383"/>
      <c r="B561" s="131" t="s">
        <v>1518</v>
      </c>
      <c r="C561" s="131" t="s">
        <v>1555</v>
      </c>
      <c r="D561" s="117">
        <f t="shared" si="58"/>
        <v>488</v>
      </c>
      <c r="E561" s="118"/>
      <c r="F561" s="118"/>
      <c r="G561" s="9">
        <v>0</v>
      </c>
      <c r="H561" s="89"/>
      <c r="I561" s="373" t="s">
        <v>1697</v>
      </c>
    </row>
    <row r="562" spans="1:9" s="344" customFormat="1" x14ac:dyDescent="0.25">
      <c r="A562" s="383"/>
      <c r="B562" s="131" t="s">
        <v>1519</v>
      </c>
      <c r="C562" s="131" t="s">
        <v>1556</v>
      </c>
      <c r="D562" s="117">
        <f t="shared" si="58"/>
        <v>489</v>
      </c>
      <c r="E562" s="118"/>
      <c r="F562" s="118"/>
      <c r="G562" s="9">
        <v>0</v>
      </c>
      <c r="H562" s="89"/>
      <c r="I562" s="373" t="s">
        <v>1697</v>
      </c>
    </row>
    <row r="563" spans="1:9" s="344" customFormat="1" x14ac:dyDescent="0.25">
      <c r="A563" s="383"/>
      <c r="B563" s="131" t="s">
        <v>1520</v>
      </c>
      <c r="C563" s="131" t="s">
        <v>1557</v>
      </c>
      <c r="D563" s="117">
        <f t="shared" si="58"/>
        <v>490</v>
      </c>
      <c r="E563" s="118"/>
      <c r="F563" s="118"/>
      <c r="G563" s="9">
        <v>0</v>
      </c>
      <c r="H563" s="89"/>
      <c r="I563" s="373" t="s">
        <v>1697</v>
      </c>
    </row>
    <row r="564" spans="1:9" s="344" customFormat="1" x14ac:dyDescent="0.25">
      <c r="A564" s="383"/>
      <c r="B564" s="131" t="s">
        <v>1521</v>
      </c>
      <c r="C564" s="131" t="s">
        <v>1558</v>
      </c>
      <c r="D564" s="117">
        <f t="shared" si="58"/>
        <v>491</v>
      </c>
      <c r="E564" s="118"/>
      <c r="F564" s="118"/>
      <c r="G564" s="9">
        <v>0</v>
      </c>
      <c r="H564" s="89"/>
      <c r="I564" s="373" t="s">
        <v>1697</v>
      </c>
    </row>
    <row r="565" spans="1:9" s="344" customFormat="1" x14ac:dyDescent="0.25">
      <c r="A565" s="383"/>
      <c r="B565" s="131" t="s">
        <v>1522</v>
      </c>
      <c r="C565" s="131" t="s">
        <v>1559</v>
      </c>
      <c r="D565" s="117">
        <f t="shared" si="58"/>
        <v>492</v>
      </c>
      <c r="E565" s="118"/>
      <c r="F565" s="118"/>
      <c r="G565" s="9">
        <v>0</v>
      </c>
      <c r="H565" s="89"/>
      <c r="I565" s="373" t="s">
        <v>1697</v>
      </c>
    </row>
    <row r="566" spans="1:9" s="344" customFormat="1" x14ac:dyDescent="0.25">
      <c r="A566" s="383"/>
      <c r="B566" s="131" t="s">
        <v>1523</v>
      </c>
      <c r="C566" s="131" t="s">
        <v>1560</v>
      </c>
      <c r="D566" s="117">
        <f t="shared" si="58"/>
        <v>493</v>
      </c>
      <c r="E566" s="118"/>
      <c r="F566" s="118"/>
      <c r="G566" s="9">
        <v>0</v>
      </c>
      <c r="H566" s="89"/>
      <c r="I566" s="373" t="s">
        <v>1697</v>
      </c>
    </row>
    <row r="567" spans="1:9" s="344" customFormat="1" x14ac:dyDescent="0.25">
      <c r="A567" s="383"/>
      <c r="B567" s="131" t="s">
        <v>1524</v>
      </c>
      <c r="C567" s="131" t="s">
        <v>1561</v>
      </c>
      <c r="D567" s="117">
        <f t="shared" si="58"/>
        <v>494</v>
      </c>
      <c r="E567" s="118"/>
      <c r="F567" s="118"/>
      <c r="G567" s="9">
        <v>0</v>
      </c>
      <c r="H567" s="89"/>
      <c r="I567" s="373" t="s">
        <v>1697</v>
      </c>
    </row>
    <row r="568" spans="1:9" s="344" customFormat="1" x14ac:dyDescent="0.25">
      <c r="A568" s="383"/>
      <c r="B568" s="131" t="s">
        <v>1525</v>
      </c>
      <c r="C568" s="131" t="s">
        <v>1562</v>
      </c>
      <c r="D568" s="117">
        <f t="shared" si="58"/>
        <v>495</v>
      </c>
      <c r="E568" s="118"/>
      <c r="F568" s="118"/>
      <c r="G568" s="9">
        <v>0</v>
      </c>
      <c r="H568" s="89"/>
      <c r="I568" s="373" t="s">
        <v>1697</v>
      </c>
    </row>
    <row r="569" spans="1:9" s="344" customFormat="1" x14ac:dyDescent="0.25">
      <c r="A569" s="383"/>
      <c r="B569" s="337" t="s">
        <v>1543</v>
      </c>
      <c r="C569" s="131" t="s">
        <v>1542</v>
      </c>
      <c r="D569" s="117">
        <f t="shared" si="58"/>
        <v>496</v>
      </c>
      <c r="E569" s="118"/>
      <c r="F569" s="118"/>
      <c r="G569" s="9">
        <v>0</v>
      </c>
      <c r="H569" s="89"/>
      <c r="I569" s="373" t="s">
        <v>1697</v>
      </c>
    </row>
    <row r="570" spans="1:9" s="344" customFormat="1" x14ac:dyDescent="0.25">
      <c r="A570" s="383"/>
      <c r="B570" s="131" t="s">
        <v>1526</v>
      </c>
      <c r="C570" s="131" t="s">
        <v>1563</v>
      </c>
      <c r="D570" s="117">
        <f t="shared" si="58"/>
        <v>497</v>
      </c>
      <c r="E570" s="118"/>
      <c r="F570" s="118"/>
      <c r="G570" s="9">
        <v>0</v>
      </c>
      <c r="H570" s="89"/>
      <c r="I570" s="373" t="s">
        <v>1697</v>
      </c>
    </row>
    <row r="571" spans="1:9" s="344" customFormat="1" x14ac:dyDescent="0.25">
      <c r="A571" s="383"/>
      <c r="B571" s="131" t="s">
        <v>1527</v>
      </c>
      <c r="C571" s="131" t="s">
        <v>1564</v>
      </c>
      <c r="D571" s="117">
        <f t="shared" si="58"/>
        <v>498</v>
      </c>
      <c r="E571" s="118"/>
      <c r="F571" s="118"/>
      <c r="G571" s="9">
        <v>0</v>
      </c>
      <c r="H571" s="89"/>
      <c r="I571" s="373" t="s">
        <v>1697</v>
      </c>
    </row>
    <row r="572" spans="1:9" s="344" customFormat="1" x14ac:dyDescent="0.25">
      <c r="A572" s="383"/>
      <c r="B572" s="131" t="s">
        <v>1528</v>
      </c>
      <c r="C572" s="131" t="s">
        <v>1565</v>
      </c>
      <c r="D572" s="117">
        <f t="shared" si="58"/>
        <v>499</v>
      </c>
      <c r="E572" s="118"/>
      <c r="F572" s="118"/>
      <c r="G572" s="9">
        <v>0</v>
      </c>
      <c r="H572" s="89"/>
      <c r="I572" s="373" t="s">
        <v>1697</v>
      </c>
    </row>
    <row r="573" spans="1:9" s="344" customFormat="1" x14ac:dyDescent="0.25">
      <c r="A573" s="383"/>
      <c r="B573" s="131" t="s">
        <v>1529</v>
      </c>
      <c r="C573" s="131" t="s">
        <v>1566</v>
      </c>
      <c r="D573" s="117">
        <f t="shared" si="58"/>
        <v>500</v>
      </c>
      <c r="E573" s="118"/>
      <c r="F573" s="118"/>
      <c r="G573" s="9">
        <v>0</v>
      </c>
      <c r="H573" s="89"/>
      <c r="I573" s="373" t="s">
        <v>1697</v>
      </c>
    </row>
    <row r="574" spans="1:9" s="344" customFormat="1" x14ac:dyDescent="0.25">
      <c r="A574" s="383"/>
      <c r="B574" s="131" t="s">
        <v>1530</v>
      </c>
      <c r="C574" s="131" t="s">
        <v>1567</v>
      </c>
      <c r="D574" s="117">
        <f t="shared" si="58"/>
        <v>501</v>
      </c>
      <c r="E574" s="118"/>
      <c r="F574" s="118"/>
      <c r="G574" s="9">
        <v>0</v>
      </c>
      <c r="H574" s="89"/>
      <c r="I574" s="373" t="s">
        <v>1697</v>
      </c>
    </row>
    <row r="575" spans="1:9" s="344" customFormat="1" x14ac:dyDescent="0.25">
      <c r="A575" s="383"/>
      <c r="B575" s="131" t="s">
        <v>1531</v>
      </c>
      <c r="C575" s="131" t="s">
        <v>1568</v>
      </c>
      <c r="D575" s="117">
        <f t="shared" si="58"/>
        <v>502</v>
      </c>
      <c r="E575" s="118">
        <f t="shared" si="59"/>
        <v>0</v>
      </c>
      <c r="F575" s="118"/>
      <c r="G575" s="9">
        <v>0</v>
      </c>
      <c r="H575" s="89"/>
      <c r="I575" s="373" t="s">
        <v>1697</v>
      </c>
    </row>
    <row r="576" spans="1:9" s="344" customFormat="1" x14ac:dyDescent="0.25">
      <c r="A576" s="383"/>
      <c r="B576" s="337" t="s">
        <v>1504</v>
      </c>
      <c r="C576" s="131" t="s">
        <v>1544</v>
      </c>
      <c r="D576" s="117">
        <f t="shared" si="58"/>
        <v>503</v>
      </c>
      <c r="E576" s="118">
        <f t="shared" si="59"/>
        <v>0</v>
      </c>
      <c r="F576" s="118"/>
      <c r="G576" s="9">
        <v>0</v>
      </c>
      <c r="H576" s="89"/>
      <c r="I576" s="373" t="s">
        <v>1697</v>
      </c>
    </row>
    <row r="577" spans="1:9" s="344" customFormat="1" x14ac:dyDescent="0.25">
      <c r="A577" s="383"/>
      <c r="B577" s="132" t="s">
        <v>1532</v>
      </c>
      <c r="C577" s="131" t="s">
        <v>1569</v>
      </c>
      <c r="D577" s="117">
        <f t="shared" si="58"/>
        <v>504</v>
      </c>
      <c r="E577" s="118"/>
      <c r="F577" s="118"/>
      <c r="G577" s="9">
        <v>0</v>
      </c>
      <c r="H577" s="89"/>
      <c r="I577" s="373" t="s">
        <v>1697</v>
      </c>
    </row>
    <row r="578" spans="1:9" s="344" customFormat="1" x14ac:dyDescent="0.25">
      <c r="A578" s="383"/>
      <c r="B578" s="132" t="s">
        <v>1533</v>
      </c>
      <c r="C578" s="131" t="s">
        <v>1570</v>
      </c>
      <c r="D578" s="117">
        <f t="shared" si="58"/>
        <v>505</v>
      </c>
      <c r="E578" s="118"/>
      <c r="F578" s="118"/>
      <c r="G578" s="9">
        <v>0</v>
      </c>
      <c r="H578" s="89"/>
      <c r="I578" s="373" t="s">
        <v>1697</v>
      </c>
    </row>
    <row r="579" spans="1:9" s="344" customFormat="1" x14ac:dyDescent="0.25">
      <c r="A579" s="383"/>
      <c r="B579" s="132" t="s">
        <v>1534</v>
      </c>
      <c r="C579" s="131" t="s">
        <v>1571</v>
      </c>
      <c r="D579" s="117">
        <f t="shared" si="58"/>
        <v>506</v>
      </c>
      <c r="E579" s="118"/>
      <c r="F579" s="118"/>
      <c r="G579" s="9">
        <v>0</v>
      </c>
      <c r="H579" s="89"/>
      <c r="I579" s="373" t="s">
        <v>1697</v>
      </c>
    </row>
    <row r="580" spans="1:9" s="344" customFormat="1" x14ac:dyDescent="0.25">
      <c r="A580" s="383"/>
      <c r="B580" s="337" t="s">
        <v>1505</v>
      </c>
      <c r="C580" s="131" t="s">
        <v>1545</v>
      </c>
      <c r="D580" s="117">
        <f t="shared" si="58"/>
        <v>507</v>
      </c>
      <c r="E580" s="118"/>
      <c r="F580" s="118"/>
      <c r="G580" s="9">
        <v>0</v>
      </c>
      <c r="H580" s="89"/>
      <c r="I580" s="373" t="s">
        <v>1697</v>
      </c>
    </row>
    <row r="581" spans="1:9" s="344" customFormat="1" x14ac:dyDescent="0.25">
      <c r="A581" s="383"/>
      <c r="B581" s="132" t="s">
        <v>1535</v>
      </c>
      <c r="C581" s="131" t="s">
        <v>1572</v>
      </c>
      <c r="D581" s="117">
        <f t="shared" si="58"/>
        <v>508</v>
      </c>
      <c r="E581" s="118"/>
      <c r="F581" s="118"/>
      <c r="G581" s="9">
        <v>0</v>
      </c>
      <c r="H581" s="89"/>
      <c r="I581" s="373" t="s">
        <v>1697</v>
      </c>
    </row>
    <row r="582" spans="1:9" s="344" customFormat="1" x14ac:dyDescent="0.25">
      <c r="A582" s="383"/>
      <c r="B582" s="132" t="s">
        <v>1536</v>
      </c>
      <c r="C582" s="131" t="s">
        <v>1573</v>
      </c>
      <c r="D582" s="117">
        <f t="shared" si="58"/>
        <v>509</v>
      </c>
      <c r="E582" s="118"/>
      <c r="F582" s="118"/>
      <c r="G582" s="9">
        <v>0</v>
      </c>
      <c r="H582" s="89"/>
      <c r="I582" s="373" t="s">
        <v>1697</v>
      </c>
    </row>
    <row r="583" spans="1:9" s="344" customFormat="1" x14ac:dyDescent="0.25">
      <c r="A583" s="383"/>
      <c r="B583" s="132" t="s">
        <v>1537</v>
      </c>
      <c r="C583" s="131" t="s">
        <v>1574</v>
      </c>
      <c r="D583" s="117">
        <f t="shared" si="58"/>
        <v>510</v>
      </c>
      <c r="E583" s="118"/>
      <c r="F583" s="118"/>
      <c r="G583" s="9">
        <v>0</v>
      </c>
      <c r="H583" s="89"/>
      <c r="I583" s="373" t="s">
        <v>1697</v>
      </c>
    </row>
    <row r="584" spans="1:9" s="344" customFormat="1" x14ac:dyDescent="0.25">
      <c r="A584" s="383"/>
      <c r="B584" s="132" t="s">
        <v>1739</v>
      </c>
      <c r="C584" s="131" t="s">
        <v>1740</v>
      </c>
      <c r="D584" s="117">
        <f t="shared" si="58"/>
        <v>511</v>
      </c>
      <c r="E584" s="118"/>
      <c r="F584" s="118"/>
      <c r="G584" s="9">
        <v>0</v>
      </c>
      <c r="H584" s="89"/>
      <c r="I584" s="373" t="s">
        <v>1697</v>
      </c>
    </row>
    <row r="585" spans="1:9" x14ac:dyDescent="0.25">
      <c r="A585" s="383"/>
      <c r="B585" s="132" t="s">
        <v>1506</v>
      </c>
      <c r="C585" s="131" t="s">
        <v>1239</v>
      </c>
      <c r="D585" s="117">
        <f t="shared" si="58"/>
        <v>512</v>
      </c>
      <c r="E585" s="118">
        <f>G585</f>
        <v>0</v>
      </c>
      <c r="F585" s="118" t="s">
        <v>1596</v>
      </c>
      <c r="G585" s="228">
        <v>0</v>
      </c>
      <c r="H585" s="89"/>
      <c r="I585" s="373" t="s">
        <v>1697</v>
      </c>
    </row>
    <row r="586" spans="1:9" x14ac:dyDescent="0.25">
      <c r="A586" s="383"/>
      <c r="B586" s="132" t="s">
        <v>1507</v>
      </c>
      <c r="C586" s="131" t="s">
        <v>1240</v>
      </c>
      <c r="D586" s="117">
        <f t="shared" si="58"/>
        <v>513</v>
      </c>
      <c r="E586" s="118">
        <f>G586</f>
        <v>0</v>
      </c>
      <c r="F586" s="118" t="s">
        <v>1596</v>
      </c>
      <c r="G586" s="228">
        <v>0</v>
      </c>
      <c r="H586" s="89"/>
      <c r="I586" s="373" t="s">
        <v>1697</v>
      </c>
    </row>
    <row r="587" spans="1:9" x14ac:dyDescent="0.25">
      <c r="A587" s="383"/>
      <c r="B587" s="125" t="s">
        <v>1597</v>
      </c>
      <c r="C587" s="125" t="s">
        <v>1575</v>
      </c>
      <c r="D587" s="117">
        <f t="shared" si="58"/>
        <v>514</v>
      </c>
      <c r="E587" s="207"/>
      <c r="F587" s="207" t="s">
        <v>628</v>
      </c>
      <c r="G587" s="208">
        <f>G588</f>
        <v>0</v>
      </c>
      <c r="H587" s="89"/>
      <c r="I587" s="373" t="s">
        <v>1697</v>
      </c>
    </row>
    <row r="588" spans="1:9" x14ac:dyDescent="0.25">
      <c r="A588" s="383"/>
      <c r="B588" s="125" t="s">
        <v>1597</v>
      </c>
      <c r="C588" s="125" t="s">
        <v>1575</v>
      </c>
      <c r="D588" s="355" t="s">
        <v>1123</v>
      </c>
      <c r="E588" s="118"/>
      <c r="F588" s="118"/>
      <c r="G588" s="228">
        <f>SUM(G581:G583,G577:G579,G570:G575,G561:G568,G554:G558,G551:G552,G546:G549)</f>
        <v>0</v>
      </c>
      <c r="H588" s="89"/>
      <c r="I588" s="373" t="s">
        <v>1697</v>
      </c>
    </row>
    <row r="589" spans="1:9" x14ac:dyDescent="0.25">
      <c r="A589" s="383"/>
      <c r="B589" s="131" t="s">
        <v>1577</v>
      </c>
      <c r="C589" s="131" t="s">
        <v>1576</v>
      </c>
      <c r="D589" s="117">
        <f>D587+1</f>
        <v>515</v>
      </c>
      <c r="E589" s="118"/>
      <c r="F589" s="118"/>
      <c r="G589" s="10"/>
      <c r="H589" s="89"/>
      <c r="I589" s="373" t="s">
        <v>1697</v>
      </c>
    </row>
    <row r="590" spans="1:9" x14ac:dyDescent="0.25">
      <c r="A590" s="383"/>
      <c r="B590" s="131" t="s">
        <v>1578</v>
      </c>
      <c r="C590" s="131" t="s">
        <v>1579</v>
      </c>
      <c r="D590" s="117">
        <f>D589+1</f>
        <v>516</v>
      </c>
      <c r="E590" s="118"/>
      <c r="F590" s="118" t="s">
        <v>1598</v>
      </c>
      <c r="G590" s="351">
        <v>2019</v>
      </c>
      <c r="H590" s="89"/>
      <c r="I590" s="373" t="s">
        <v>1697</v>
      </c>
    </row>
    <row r="591" spans="1:9" x14ac:dyDescent="0.25">
      <c r="A591" s="383"/>
      <c r="B591" s="131" t="s">
        <v>1580</v>
      </c>
      <c r="C591" s="131" t="s">
        <v>1581</v>
      </c>
      <c r="D591" s="117">
        <f t="shared" ref="D591:D605" si="60">D590+1</f>
        <v>517</v>
      </c>
      <c r="E591" s="118"/>
      <c r="F591" s="118" t="s">
        <v>612</v>
      </c>
      <c r="G591" s="351"/>
      <c r="H591" s="89"/>
      <c r="I591" s="373" t="s">
        <v>1697</v>
      </c>
    </row>
    <row r="592" spans="1:9" x14ac:dyDescent="0.25">
      <c r="A592" s="383"/>
      <c r="B592" s="131" t="s">
        <v>1583</v>
      </c>
      <c r="C592" s="131" t="s">
        <v>1582</v>
      </c>
      <c r="D592" s="117">
        <f t="shared" si="60"/>
        <v>518</v>
      </c>
      <c r="E592" s="118"/>
      <c r="F592" s="118"/>
      <c r="G592" s="10"/>
      <c r="H592" s="89"/>
      <c r="I592" s="373" t="s">
        <v>1697</v>
      </c>
    </row>
    <row r="593" spans="1:9" x14ac:dyDescent="0.25">
      <c r="A593" s="383"/>
      <c r="B593" s="131" t="s">
        <v>1585</v>
      </c>
      <c r="C593" s="131" t="s">
        <v>1584</v>
      </c>
      <c r="D593" s="117">
        <f t="shared" si="60"/>
        <v>519</v>
      </c>
      <c r="E593" s="118"/>
      <c r="F593" s="118"/>
      <c r="G593" s="10"/>
      <c r="H593" s="89"/>
      <c r="I593" s="373" t="s">
        <v>1697</v>
      </c>
    </row>
    <row r="594" spans="1:9" x14ac:dyDescent="0.25">
      <c r="A594" s="383"/>
      <c r="B594" s="131" t="s">
        <v>1586</v>
      </c>
      <c r="C594" s="131" t="s">
        <v>1588</v>
      </c>
      <c r="D594" s="117">
        <f t="shared" si="60"/>
        <v>520</v>
      </c>
      <c r="E594" s="118"/>
      <c r="F594" s="118"/>
      <c r="G594" s="351"/>
      <c r="H594" s="89"/>
      <c r="I594" s="373" t="s">
        <v>1697</v>
      </c>
    </row>
    <row r="595" spans="1:9" x14ac:dyDescent="0.25">
      <c r="A595" s="383"/>
      <c r="B595" s="131" t="s">
        <v>1587</v>
      </c>
      <c r="C595" s="131" t="s">
        <v>1589</v>
      </c>
      <c r="D595" s="117">
        <f t="shared" si="60"/>
        <v>521</v>
      </c>
      <c r="E595" s="118"/>
      <c r="F595" s="118"/>
      <c r="G595" s="351"/>
      <c r="H595" s="89"/>
      <c r="I595" s="373" t="s">
        <v>1697</v>
      </c>
    </row>
    <row r="596" spans="1:9" x14ac:dyDescent="0.25">
      <c r="A596" s="383"/>
      <c r="B596" s="131" t="s">
        <v>1591</v>
      </c>
      <c r="C596" s="131" t="s">
        <v>1590</v>
      </c>
      <c r="D596" s="117">
        <f t="shared" si="60"/>
        <v>522</v>
      </c>
      <c r="E596" s="118"/>
      <c r="F596" s="118" t="s">
        <v>612</v>
      </c>
      <c r="G596" s="351"/>
      <c r="H596" s="89"/>
      <c r="I596" s="373" t="s">
        <v>1697</v>
      </c>
    </row>
    <row r="597" spans="1:9" x14ac:dyDescent="0.25">
      <c r="A597" s="383"/>
      <c r="B597" s="131" t="s">
        <v>1592</v>
      </c>
      <c r="C597" s="131" t="s">
        <v>1593</v>
      </c>
      <c r="D597" s="117">
        <f t="shared" si="60"/>
        <v>523</v>
      </c>
      <c r="E597" s="118"/>
      <c r="F597" s="118"/>
      <c r="G597" s="351"/>
      <c r="H597" s="89"/>
      <c r="I597" s="373" t="s">
        <v>1697</v>
      </c>
    </row>
    <row r="598" spans="1:9" x14ac:dyDescent="0.25">
      <c r="A598" s="384"/>
      <c r="B598" s="131" t="s">
        <v>1594</v>
      </c>
      <c r="C598" s="131" t="s">
        <v>1595</v>
      </c>
      <c r="D598" s="117">
        <f t="shared" si="60"/>
        <v>524</v>
      </c>
      <c r="E598" s="118"/>
      <c r="F598" s="118"/>
      <c r="G598" s="351"/>
      <c r="H598" s="89"/>
      <c r="I598" s="373" t="s">
        <v>1697</v>
      </c>
    </row>
    <row r="599" spans="1:9" x14ac:dyDescent="0.25">
      <c r="A599" s="105"/>
      <c r="B599" s="191" t="s">
        <v>662</v>
      </c>
      <c r="C599" s="227"/>
      <c r="D599" s="117">
        <f t="shared" si="60"/>
        <v>525</v>
      </c>
      <c r="E599" s="118"/>
      <c r="F599" s="118"/>
      <c r="G599" s="9"/>
    </row>
    <row r="600" spans="1:9" x14ac:dyDescent="0.25">
      <c r="A600" s="105">
        <f>A538+1</f>
        <v>424</v>
      </c>
      <c r="B600" s="131" t="s">
        <v>913</v>
      </c>
      <c r="C600" s="131" t="s">
        <v>568</v>
      </c>
      <c r="D600" s="117">
        <f t="shared" si="60"/>
        <v>526</v>
      </c>
      <c r="E600" s="118">
        <f t="shared" si="53"/>
        <v>2</v>
      </c>
      <c r="F600" s="118"/>
      <c r="G600" s="9">
        <v>2</v>
      </c>
      <c r="H600" s="89"/>
    </row>
    <row r="601" spans="1:9" x14ac:dyDescent="0.25">
      <c r="A601" s="105">
        <f>A600+1</f>
        <v>425</v>
      </c>
      <c r="B601" s="131" t="s">
        <v>914</v>
      </c>
      <c r="C601" s="131" t="s">
        <v>569</v>
      </c>
      <c r="D601" s="117">
        <f t="shared" si="60"/>
        <v>527</v>
      </c>
      <c r="E601" s="118">
        <f t="shared" si="53"/>
        <v>1</v>
      </c>
      <c r="F601" s="118"/>
      <c r="G601" s="9">
        <v>1</v>
      </c>
      <c r="H601" s="89"/>
    </row>
    <row r="602" spans="1:9" x14ac:dyDescent="0.25">
      <c r="A602" s="105">
        <f>A601+1</f>
        <v>426</v>
      </c>
      <c r="B602" s="131" t="s">
        <v>915</v>
      </c>
      <c r="C602" s="131" t="s">
        <v>570</v>
      </c>
      <c r="D602" s="117">
        <f t="shared" si="60"/>
        <v>528</v>
      </c>
      <c r="E602" s="118">
        <f t="shared" si="53"/>
        <v>1</v>
      </c>
      <c r="F602" s="118"/>
      <c r="G602" s="9">
        <v>1</v>
      </c>
      <c r="H602" s="89"/>
    </row>
    <row r="603" spans="1:9" x14ac:dyDescent="0.25">
      <c r="A603" s="105">
        <f t="shared" ref="A603:A605" si="61">A602+1</f>
        <v>427</v>
      </c>
      <c r="B603" s="131" t="s">
        <v>916</v>
      </c>
      <c r="C603" s="131" t="s">
        <v>571</v>
      </c>
      <c r="D603" s="117">
        <f t="shared" si="60"/>
        <v>529</v>
      </c>
      <c r="E603" s="118">
        <f t="shared" si="53"/>
        <v>1</v>
      </c>
      <c r="F603" s="118"/>
      <c r="G603" s="9">
        <v>1</v>
      </c>
      <c r="H603" s="89"/>
    </row>
    <row r="604" spans="1:9" x14ac:dyDescent="0.25">
      <c r="A604" s="105">
        <f t="shared" si="61"/>
        <v>428</v>
      </c>
      <c r="B604" s="131" t="s">
        <v>917</v>
      </c>
      <c r="C604" s="131" t="s">
        <v>572</v>
      </c>
      <c r="D604" s="117">
        <f t="shared" si="60"/>
        <v>530</v>
      </c>
      <c r="E604" s="118">
        <f t="shared" si="53"/>
        <v>2</v>
      </c>
      <c r="F604" s="118"/>
      <c r="G604" s="9">
        <v>2</v>
      </c>
      <c r="H604" s="89"/>
    </row>
    <row r="605" spans="1:9" x14ac:dyDescent="0.25">
      <c r="A605" s="105">
        <f t="shared" si="61"/>
        <v>429</v>
      </c>
      <c r="B605" s="131" t="s">
        <v>918</v>
      </c>
      <c r="C605" s="131" t="s">
        <v>573</v>
      </c>
      <c r="D605" s="117">
        <f t="shared" si="60"/>
        <v>531</v>
      </c>
      <c r="E605" s="118">
        <f t="shared" si="53"/>
        <v>2</v>
      </c>
      <c r="F605" s="118"/>
      <c r="G605" s="9">
        <v>2</v>
      </c>
      <c r="H605" s="89"/>
    </row>
    <row r="606" spans="1:9" x14ac:dyDescent="0.25">
      <c r="A606" s="407" t="s">
        <v>663</v>
      </c>
      <c r="B606" s="408"/>
      <c r="C606" s="409"/>
      <c r="D606" s="339"/>
      <c r="E606" s="118"/>
      <c r="F606" s="118"/>
      <c r="G606" s="9"/>
    </row>
    <row r="607" spans="1:9" x14ac:dyDescent="0.25">
      <c r="A607" s="193"/>
      <c r="B607" s="194" t="s">
        <v>664</v>
      </c>
      <c r="C607" s="195"/>
      <c r="D607" s="339"/>
      <c r="E607" s="118"/>
      <c r="F607" s="152"/>
      <c r="G607" s="9"/>
    </row>
    <row r="608" spans="1:9" x14ac:dyDescent="0.25">
      <c r="A608" s="106">
        <v>501</v>
      </c>
      <c r="B608" s="133" t="s">
        <v>919</v>
      </c>
      <c r="C608" s="133" t="s">
        <v>574</v>
      </c>
      <c r="D608" s="117">
        <f>D605+1</f>
        <v>532</v>
      </c>
      <c r="E608" s="118">
        <f t="shared" si="53"/>
        <v>2</v>
      </c>
      <c r="F608" s="118"/>
      <c r="G608" s="9">
        <v>2</v>
      </c>
      <c r="H608" s="89"/>
    </row>
    <row r="609" spans="1:8" x14ac:dyDescent="0.25">
      <c r="A609" s="421">
        <f>A608+1</f>
        <v>502</v>
      </c>
      <c r="B609" s="133" t="s">
        <v>190</v>
      </c>
      <c r="C609" s="133" t="s">
        <v>575</v>
      </c>
      <c r="D609" s="117">
        <f>D608+1</f>
        <v>533</v>
      </c>
      <c r="E609" s="118">
        <f t="shared" si="53"/>
        <v>0</v>
      </c>
      <c r="F609" s="118"/>
      <c r="G609" s="9">
        <v>0</v>
      </c>
      <c r="H609" s="89"/>
    </row>
    <row r="610" spans="1:8" x14ac:dyDescent="0.25">
      <c r="A610" s="422"/>
      <c r="B610" s="133" t="s">
        <v>191</v>
      </c>
      <c r="C610" s="133" t="s">
        <v>576</v>
      </c>
      <c r="D610" s="117">
        <f t="shared" ref="D610:D615" si="62">D609+1</f>
        <v>534</v>
      </c>
      <c r="E610" s="118">
        <f t="shared" si="53"/>
        <v>0</v>
      </c>
      <c r="F610" s="118"/>
      <c r="G610" s="9">
        <v>0</v>
      </c>
      <c r="H610" s="89"/>
    </row>
    <row r="611" spans="1:8" x14ac:dyDescent="0.25">
      <c r="A611" s="423"/>
      <c r="B611" s="133" t="s">
        <v>192</v>
      </c>
      <c r="C611" s="133" t="s">
        <v>577</v>
      </c>
      <c r="D611" s="117">
        <f t="shared" si="62"/>
        <v>535</v>
      </c>
      <c r="E611" s="118">
        <f t="shared" si="53"/>
        <v>0</v>
      </c>
      <c r="F611" s="118"/>
      <c r="G611" s="9">
        <v>0</v>
      </c>
      <c r="H611" s="89"/>
    </row>
    <row r="612" spans="1:8" x14ac:dyDescent="0.25">
      <c r="A612" s="106">
        <f>A609+1</f>
        <v>503</v>
      </c>
      <c r="B612" s="133" t="s">
        <v>193</v>
      </c>
      <c r="C612" s="133" t="s">
        <v>578</v>
      </c>
      <c r="D612" s="117">
        <f t="shared" si="62"/>
        <v>536</v>
      </c>
      <c r="E612" s="118">
        <f t="shared" si="53"/>
        <v>0</v>
      </c>
      <c r="F612" s="118"/>
      <c r="G612" s="9">
        <v>0</v>
      </c>
      <c r="H612" s="89"/>
    </row>
    <row r="613" spans="1:8" x14ac:dyDescent="0.25">
      <c r="A613" s="106">
        <f>A612+1</f>
        <v>504</v>
      </c>
      <c r="B613" s="133" t="s">
        <v>194</v>
      </c>
      <c r="C613" s="133" t="s">
        <v>579</v>
      </c>
      <c r="D613" s="117">
        <f t="shared" si="62"/>
        <v>537</v>
      </c>
      <c r="E613" s="118">
        <f t="shared" si="53"/>
        <v>0</v>
      </c>
      <c r="F613" s="118"/>
      <c r="G613" s="9">
        <v>0</v>
      </c>
      <c r="H613" s="89"/>
    </row>
    <row r="614" spans="1:8" x14ac:dyDescent="0.25">
      <c r="A614" s="106">
        <f t="shared" ref="A614:A615" si="63">A613+1</f>
        <v>505</v>
      </c>
      <c r="B614" s="133" t="s">
        <v>1140</v>
      </c>
      <c r="C614" s="133" t="s">
        <v>580</v>
      </c>
      <c r="D614" s="117">
        <f t="shared" si="62"/>
        <v>538</v>
      </c>
      <c r="E614" s="118">
        <f t="shared" ref="E614:E669" si="64">G614</f>
        <v>1</v>
      </c>
      <c r="F614" s="118"/>
      <c r="G614" s="9">
        <v>1</v>
      </c>
      <c r="H614" s="89"/>
    </row>
    <row r="615" spans="1:8" x14ac:dyDescent="0.25">
      <c r="A615" s="106">
        <f t="shared" si="63"/>
        <v>506</v>
      </c>
      <c r="B615" s="133" t="s">
        <v>195</v>
      </c>
      <c r="C615" s="133" t="s">
        <v>581</v>
      </c>
      <c r="D615" s="117">
        <f t="shared" si="62"/>
        <v>539</v>
      </c>
      <c r="E615" s="118">
        <f t="shared" si="64"/>
        <v>0</v>
      </c>
      <c r="F615" s="118"/>
      <c r="G615" s="9">
        <v>0</v>
      </c>
      <c r="H615" s="89"/>
    </row>
    <row r="616" spans="1:8" x14ac:dyDescent="0.25">
      <c r="A616" s="106"/>
      <c r="B616" s="196" t="s">
        <v>665</v>
      </c>
      <c r="C616" s="133"/>
      <c r="D616" s="339"/>
      <c r="E616" s="118"/>
      <c r="F616" s="118"/>
      <c r="G616" s="9"/>
    </row>
    <row r="617" spans="1:8" x14ac:dyDescent="0.25">
      <c r="A617" s="421">
        <f>A615+1</f>
        <v>507</v>
      </c>
      <c r="B617" s="133" t="s">
        <v>920</v>
      </c>
      <c r="C617" s="133" t="s">
        <v>582</v>
      </c>
      <c r="D617" s="117">
        <f>D615+1</f>
        <v>540</v>
      </c>
      <c r="E617" s="118">
        <f t="shared" si="64"/>
        <v>0</v>
      </c>
      <c r="F617" s="118" t="s">
        <v>639</v>
      </c>
      <c r="G617" s="9">
        <v>0</v>
      </c>
      <c r="H617" s="89"/>
    </row>
    <row r="618" spans="1:8" x14ac:dyDescent="0.25">
      <c r="A618" s="422"/>
      <c r="B618" s="133" t="s">
        <v>921</v>
      </c>
      <c r="C618" s="133" t="s">
        <v>583</v>
      </c>
      <c r="D618" s="117">
        <f>D617+1</f>
        <v>541</v>
      </c>
      <c r="E618" s="118">
        <f t="shared" si="64"/>
        <v>0</v>
      </c>
      <c r="F618" s="118" t="s">
        <v>639</v>
      </c>
      <c r="G618" s="9">
        <v>0</v>
      </c>
      <c r="H618" s="89"/>
    </row>
    <row r="619" spans="1:8" x14ac:dyDescent="0.25">
      <c r="A619" s="422"/>
      <c r="B619" s="133" t="s">
        <v>922</v>
      </c>
      <c r="C619" s="133" t="s">
        <v>584</v>
      </c>
      <c r="D619" s="117">
        <f t="shared" ref="D619:D631" si="65">D618+1</f>
        <v>542</v>
      </c>
      <c r="E619" s="118">
        <f t="shared" si="64"/>
        <v>0</v>
      </c>
      <c r="F619" s="118" t="s">
        <v>639</v>
      </c>
      <c r="G619" s="9">
        <v>0</v>
      </c>
      <c r="H619" s="89"/>
    </row>
    <row r="620" spans="1:8" x14ac:dyDescent="0.25">
      <c r="A620" s="422"/>
      <c r="B620" s="133" t="s">
        <v>923</v>
      </c>
      <c r="C620" s="133" t="s">
        <v>585</v>
      </c>
      <c r="D620" s="117">
        <f t="shared" si="65"/>
        <v>543</v>
      </c>
      <c r="E620" s="118">
        <f t="shared" si="64"/>
        <v>0</v>
      </c>
      <c r="F620" s="118" t="s">
        <v>639</v>
      </c>
      <c r="G620" s="9">
        <v>0</v>
      </c>
      <c r="H620" s="89"/>
    </row>
    <row r="621" spans="1:8" x14ac:dyDescent="0.25">
      <c r="A621" s="422"/>
      <c r="B621" s="133" t="s">
        <v>924</v>
      </c>
      <c r="C621" s="133" t="s">
        <v>586</v>
      </c>
      <c r="D621" s="117">
        <f t="shared" si="65"/>
        <v>544</v>
      </c>
      <c r="E621" s="118">
        <f t="shared" si="64"/>
        <v>0</v>
      </c>
      <c r="F621" s="118" t="s">
        <v>639</v>
      </c>
      <c r="G621" s="9">
        <v>0</v>
      </c>
      <c r="H621" s="89"/>
    </row>
    <row r="622" spans="1:8" x14ac:dyDescent="0.25">
      <c r="A622" s="422"/>
      <c r="B622" s="133" t="s">
        <v>925</v>
      </c>
      <c r="C622" s="133" t="s">
        <v>587</v>
      </c>
      <c r="D622" s="117">
        <f t="shared" si="65"/>
        <v>545</v>
      </c>
      <c r="E622" s="118">
        <f t="shared" si="64"/>
        <v>0</v>
      </c>
      <c r="F622" s="118" t="s">
        <v>639</v>
      </c>
      <c r="G622" s="9">
        <v>0</v>
      </c>
      <c r="H622" s="89"/>
    </row>
    <row r="623" spans="1:8" x14ac:dyDescent="0.25">
      <c r="A623" s="422"/>
      <c r="B623" s="133" t="s">
        <v>926</v>
      </c>
      <c r="C623" s="133" t="s">
        <v>588</v>
      </c>
      <c r="D623" s="117">
        <f t="shared" si="65"/>
        <v>546</v>
      </c>
      <c r="E623" s="118">
        <f t="shared" si="64"/>
        <v>0</v>
      </c>
      <c r="F623" s="118" t="s">
        <v>639</v>
      </c>
      <c r="G623" s="9">
        <v>0</v>
      </c>
      <c r="H623" s="89"/>
    </row>
    <row r="624" spans="1:8" x14ac:dyDescent="0.25">
      <c r="A624" s="422"/>
      <c r="B624" s="133" t="s">
        <v>927</v>
      </c>
      <c r="C624" s="133" t="s">
        <v>589</v>
      </c>
      <c r="D624" s="117">
        <f t="shared" si="65"/>
        <v>547</v>
      </c>
      <c r="E624" s="118">
        <f t="shared" si="64"/>
        <v>0</v>
      </c>
      <c r="F624" s="118" t="s">
        <v>639</v>
      </c>
      <c r="G624" s="9">
        <v>0</v>
      </c>
      <c r="H624" s="89"/>
    </row>
    <row r="625" spans="1:8" x14ac:dyDescent="0.25">
      <c r="A625" s="422"/>
      <c r="B625" s="133" t="s">
        <v>928</v>
      </c>
      <c r="C625" s="133" t="s">
        <v>590</v>
      </c>
      <c r="D625" s="117">
        <f t="shared" si="65"/>
        <v>548</v>
      </c>
      <c r="E625" s="118">
        <f t="shared" si="64"/>
        <v>0</v>
      </c>
      <c r="F625" s="118" t="s">
        <v>639</v>
      </c>
      <c r="G625" s="9">
        <v>0</v>
      </c>
      <c r="H625" s="89"/>
    </row>
    <row r="626" spans="1:8" x14ac:dyDescent="0.25">
      <c r="A626" s="422"/>
      <c r="B626" s="164" t="s">
        <v>929</v>
      </c>
      <c r="C626" s="133" t="s">
        <v>591</v>
      </c>
      <c r="D626" s="117">
        <f t="shared" si="65"/>
        <v>549</v>
      </c>
      <c r="E626" s="118">
        <f t="shared" si="64"/>
        <v>0</v>
      </c>
      <c r="F626" s="118"/>
      <c r="G626" s="9">
        <v>0</v>
      </c>
      <c r="H626" s="89"/>
    </row>
    <row r="627" spans="1:8" x14ac:dyDescent="0.25">
      <c r="A627" s="423"/>
      <c r="B627" s="165"/>
      <c r="C627" s="133" t="s">
        <v>592</v>
      </c>
      <c r="D627" s="117">
        <f t="shared" si="65"/>
        <v>550</v>
      </c>
      <c r="E627" s="118">
        <f t="shared" si="64"/>
        <v>0</v>
      </c>
      <c r="F627" s="118" t="s">
        <v>639</v>
      </c>
      <c r="G627" s="9">
        <v>0</v>
      </c>
      <c r="H627" s="89"/>
    </row>
    <row r="628" spans="1:8" x14ac:dyDescent="0.25">
      <c r="A628" s="421">
        <f>A617+1</f>
        <v>508</v>
      </c>
      <c r="B628" s="133" t="s">
        <v>930</v>
      </c>
      <c r="C628" s="133" t="s">
        <v>593</v>
      </c>
      <c r="D628" s="117">
        <f t="shared" si="65"/>
        <v>551</v>
      </c>
      <c r="E628" s="118">
        <f t="shared" si="64"/>
        <v>0</v>
      </c>
      <c r="F628" s="118"/>
      <c r="G628" s="9">
        <v>0</v>
      </c>
      <c r="H628" s="89"/>
    </row>
    <row r="629" spans="1:8" x14ac:dyDescent="0.25">
      <c r="A629" s="422"/>
      <c r="B629" s="133" t="s">
        <v>931</v>
      </c>
      <c r="C629" s="133" t="s">
        <v>594</v>
      </c>
      <c r="D629" s="117">
        <f t="shared" si="65"/>
        <v>552</v>
      </c>
      <c r="E629" s="118">
        <f t="shared" si="64"/>
        <v>0</v>
      </c>
      <c r="F629" s="118"/>
      <c r="G629" s="9">
        <v>0</v>
      </c>
      <c r="H629" s="89"/>
    </row>
    <row r="630" spans="1:8" x14ac:dyDescent="0.25">
      <c r="A630" s="422"/>
      <c r="B630" s="133" t="s">
        <v>932</v>
      </c>
      <c r="C630" s="133" t="s">
        <v>595</v>
      </c>
      <c r="D630" s="117">
        <f t="shared" si="65"/>
        <v>553</v>
      </c>
      <c r="E630" s="118">
        <f t="shared" si="64"/>
        <v>1</v>
      </c>
      <c r="F630" s="118"/>
      <c r="G630" s="9">
        <v>1</v>
      </c>
      <c r="H630" s="89"/>
    </row>
    <row r="631" spans="1:8" x14ac:dyDescent="0.25">
      <c r="A631" s="423"/>
      <c r="B631" s="133" t="s">
        <v>933</v>
      </c>
      <c r="C631" s="133" t="s">
        <v>596</v>
      </c>
      <c r="D631" s="117">
        <f t="shared" si="65"/>
        <v>554</v>
      </c>
      <c r="E631" s="118">
        <f t="shared" si="64"/>
        <v>1</v>
      </c>
      <c r="F631" s="118"/>
      <c r="G631" s="9">
        <v>1</v>
      </c>
      <c r="H631" s="89"/>
    </row>
    <row r="632" spans="1:8" x14ac:dyDescent="0.25">
      <c r="A632" s="404" t="s">
        <v>666</v>
      </c>
      <c r="B632" s="405"/>
      <c r="C632" s="406"/>
      <c r="D632" s="339"/>
      <c r="E632" s="118"/>
      <c r="F632" s="118"/>
      <c r="G632" s="9"/>
    </row>
    <row r="633" spans="1:8" x14ac:dyDescent="0.25">
      <c r="A633" s="376">
        <v>601</v>
      </c>
      <c r="B633" s="123" t="s">
        <v>196</v>
      </c>
      <c r="C633" s="123" t="s">
        <v>597</v>
      </c>
      <c r="D633" s="117">
        <f>D631+1</f>
        <v>555</v>
      </c>
      <c r="E633" s="118">
        <f t="shared" si="64"/>
        <v>1</v>
      </c>
      <c r="F633" s="118"/>
      <c r="G633" s="9">
        <v>1</v>
      </c>
      <c r="H633" s="89"/>
    </row>
    <row r="634" spans="1:8" x14ac:dyDescent="0.25">
      <c r="A634" s="378"/>
      <c r="B634" s="123" t="s">
        <v>197</v>
      </c>
      <c r="C634" s="123" t="s">
        <v>598</v>
      </c>
      <c r="D634" s="117">
        <f>D633+1</f>
        <v>556</v>
      </c>
      <c r="E634" s="118">
        <f t="shared" si="64"/>
        <v>2</v>
      </c>
      <c r="F634" s="118" t="s">
        <v>612</v>
      </c>
      <c r="G634" s="9">
        <v>2</v>
      </c>
      <c r="H634" s="89"/>
    </row>
    <row r="635" spans="1:8" x14ac:dyDescent="0.25">
      <c r="A635" s="104">
        <f>A633+1</f>
        <v>602</v>
      </c>
      <c r="B635" s="123" t="s">
        <v>935</v>
      </c>
      <c r="C635" s="123" t="s">
        <v>934</v>
      </c>
      <c r="D635" s="117">
        <f t="shared" ref="D635:D639" si="66">D634+1</f>
        <v>557</v>
      </c>
      <c r="E635" s="118">
        <f t="shared" si="64"/>
        <v>82</v>
      </c>
      <c r="F635" s="118" t="s">
        <v>612</v>
      </c>
      <c r="G635" s="9">
        <v>82</v>
      </c>
      <c r="H635" s="89"/>
    </row>
    <row r="636" spans="1:8" x14ac:dyDescent="0.25">
      <c r="A636" s="104">
        <f>A635+1</f>
        <v>603</v>
      </c>
      <c r="B636" s="123" t="s">
        <v>1279</v>
      </c>
      <c r="C636" s="123" t="s">
        <v>1280</v>
      </c>
      <c r="D636" s="117">
        <f t="shared" si="66"/>
        <v>558</v>
      </c>
      <c r="E636" s="118">
        <f t="shared" si="64"/>
        <v>0</v>
      </c>
      <c r="F636" s="118" t="s">
        <v>612</v>
      </c>
      <c r="G636" s="9">
        <v>0</v>
      </c>
      <c r="H636" s="89"/>
    </row>
    <row r="637" spans="1:8" x14ac:dyDescent="0.25">
      <c r="A637" s="104">
        <f t="shared" ref="A637:A639" si="67">A636+1</f>
        <v>604</v>
      </c>
      <c r="B637" s="123" t="s">
        <v>936</v>
      </c>
      <c r="C637" s="123" t="s">
        <v>599</v>
      </c>
      <c r="D637" s="117">
        <f t="shared" si="66"/>
        <v>559</v>
      </c>
      <c r="E637" s="118">
        <f t="shared" si="64"/>
        <v>0</v>
      </c>
      <c r="F637" s="118"/>
      <c r="G637" s="9">
        <v>0</v>
      </c>
      <c r="H637" s="89"/>
    </row>
    <row r="638" spans="1:8" x14ac:dyDescent="0.25">
      <c r="A638" s="104">
        <f t="shared" si="67"/>
        <v>605</v>
      </c>
      <c r="B638" s="123" t="s">
        <v>198</v>
      </c>
      <c r="C638" s="123" t="s">
        <v>600</v>
      </c>
      <c r="D638" s="117">
        <f t="shared" si="66"/>
        <v>560</v>
      </c>
      <c r="E638" s="118">
        <f t="shared" si="64"/>
        <v>1</v>
      </c>
      <c r="F638" s="118"/>
      <c r="G638" s="9">
        <v>1</v>
      </c>
      <c r="H638" s="89"/>
    </row>
    <row r="639" spans="1:8" x14ac:dyDescent="0.25">
      <c r="A639" s="104">
        <f t="shared" si="67"/>
        <v>606</v>
      </c>
      <c r="B639" s="123" t="s">
        <v>199</v>
      </c>
      <c r="C639" s="123" t="s">
        <v>601</v>
      </c>
      <c r="D639" s="117">
        <f t="shared" si="66"/>
        <v>561</v>
      </c>
      <c r="E639" s="118">
        <f t="shared" si="64"/>
        <v>0</v>
      </c>
      <c r="F639" s="118"/>
      <c r="G639" s="9">
        <v>0</v>
      </c>
      <c r="H639" s="89"/>
    </row>
    <row r="640" spans="1:8" x14ac:dyDescent="0.25">
      <c r="A640" s="418" t="s">
        <v>808</v>
      </c>
      <c r="B640" s="419"/>
      <c r="C640" s="420"/>
      <c r="D640" s="339"/>
      <c r="E640" s="118">
        <f t="shared" si="64"/>
        <v>0</v>
      </c>
      <c r="F640" s="118"/>
      <c r="G640" s="9"/>
    </row>
    <row r="641" spans="1:8" x14ac:dyDescent="0.25">
      <c r="A641" s="401">
        <v>701</v>
      </c>
      <c r="B641" s="134" t="s">
        <v>1606</v>
      </c>
      <c r="C641" s="134" t="s">
        <v>1607</v>
      </c>
      <c r="D641" s="117">
        <f>D639+1</f>
        <v>562</v>
      </c>
      <c r="E641" s="130" t="str">
        <f>G641</f>
        <v>Rp. 0</v>
      </c>
      <c r="F641" s="130"/>
      <c r="G641" s="85" t="s">
        <v>1345</v>
      </c>
      <c r="H641" s="89"/>
    </row>
    <row r="642" spans="1:8" x14ac:dyDescent="0.25">
      <c r="A642" s="402"/>
      <c r="B642" s="134" t="s">
        <v>1684</v>
      </c>
      <c r="C642" s="134" t="s">
        <v>937</v>
      </c>
      <c r="D642" s="117">
        <f>D641+1</f>
        <v>563</v>
      </c>
      <c r="E642" s="130" t="str">
        <f t="shared" ref="E642:E654" si="68">G642</f>
        <v>Rp. 12,020,400</v>
      </c>
      <c r="F642" s="130"/>
      <c r="G642" s="86" t="s">
        <v>1365</v>
      </c>
      <c r="H642" s="89"/>
    </row>
    <row r="643" spans="1:8" x14ac:dyDescent="0.25">
      <c r="A643" s="402"/>
      <c r="B643" s="134" t="s">
        <v>1608</v>
      </c>
      <c r="C643" s="134" t="s">
        <v>1609</v>
      </c>
      <c r="D643" s="117">
        <f t="shared" ref="D643:D654" si="69">D642+1</f>
        <v>564</v>
      </c>
      <c r="E643" s="130" t="str">
        <f t="shared" si="68"/>
        <v>Rp. 0</v>
      </c>
      <c r="F643" s="130"/>
      <c r="G643" s="86" t="s">
        <v>1345</v>
      </c>
      <c r="H643" s="89"/>
    </row>
    <row r="644" spans="1:8" x14ac:dyDescent="0.25">
      <c r="A644" s="402"/>
      <c r="B644" s="134" t="s">
        <v>1685</v>
      </c>
      <c r="C644" s="134" t="s">
        <v>938</v>
      </c>
      <c r="D644" s="117">
        <f t="shared" si="69"/>
        <v>565</v>
      </c>
      <c r="E644" s="130" t="str">
        <f t="shared" si="68"/>
        <v>Rp. 952,457,000</v>
      </c>
      <c r="F644" s="130"/>
      <c r="G644" s="86" t="s">
        <v>1366</v>
      </c>
      <c r="H644" s="89"/>
    </row>
    <row r="645" spans="1:8" x14ac:dyDescent="0.25">
      <c r="A645" s="402"/>
      <c r="B645" s="134" t="s">
        <v>1610</v>
      </c>
      <c r="C645" s="134" t="s">
        <v>1611</v>
      </c>
      <c r="D645" s="117">
        <f t="shared" si="69"/>
        <v>566</v>
      </c>
      <c r="E645" s="130" t="str">
        <f t="shared" si="68"/>
        <v>Rp. 0</v>
      </c>
      <c r="F645" s="130"/>
      <c r="G645" s="86" t="s">
        <v>1345</v>
      </c>
      <c r="H645" s="89"/>
    </row>
    <row r="646" spans="1:8" x14ac:dyDescent="0.25">
      <c r="A646" s="402"/>
      <c r="B646" s="134" t="s">
        <v>1686</v>
      </c>
      <c r="C646" s="134" t="s">
        <v>939</v>
      </c>
      <c r="D646" s="117">
        <f t="shared" si="69"/>
        <v>567</v>
      </c>
      <c r="E646" s="130" t="str">
        <f t="shared" si="68"/>
        <v>Rp. 35,922,644</v>
      </c>
      <c r="F646" s="130"/>
      <c r="G646" s="86" t="s">
        <v>1367</v>
      </c>
      <c r="H646" s="89"/>
    </row>
    <row r="647" spans="1:8" x14ac:dyDescent="0.25">
      <c r="A647" s="402"/>
      <c r="B647" s="134" t="s">
        <v>1612</v>
      </c>
      <c r="C647" s="134" t="s">
        <v>1613</v>
      </c>
      <c r="D647" s="117">
        <f t="shared" si="69"/>
        <v>568</v>
      </c>
      <c r="E647" s="130" t="str">
        <f t="shared" si="68"/>
        <v>Rp. 0</v>
      </c>
      <c r="F647" s="130"/>
      <c r="G647" s="86" t="s">
        <v>1345</v>
      </c>
      <c r="H647" s="89"/>
    </row>
    <row r="648" spans="1:8" x14ac:dyDescent="0.25">
      <c r="A648" s="402"/>
      <c r="B648" s="134" t="s">
        <v>1687</v>
      </c>
      <c r="C648" s="134" t="s">
        <v>940</v>
      </c>
      <c r="D648" s="117">
        <f t="shared" si="69"/>
        <v>569</v>
      </c>
      <c r="E648" s="130" t="str">
        <f t="shared" si="68"/>
        <v>Rp. 519,641,000</v>
      </c>
      <c r="F648" s="130"/>
      <c r="G648" s="86" t="s">
        <v>1368</v>
      </c>
      <c r="H648" s="89"/>
    </row>
    <row r="649" spans="1:8" x14ac:dyDescent="0.25">
      <c r="A649" s="402"/>
      <c r="B649" s="134" t="s">
        <v>1614</v>
      </c>
      <c r="C649" s="134" t="s">
        <v>1615</v>
      </c>
      <c r="D649" s="117">
        <f t="shared" si="69"/>
        <v>570</v>
      </c>
      <c r="E649" s="130" t="str">
        <f t="shared" si="68"/>
        <v>Rp. 0</v>
      </c>
      <c r="F649" s="130"/>
      <c r="G649" s="86" t="s">
        <v>1345</v>
      </c>
      <c r="H649" s="89"/>
    </row>
    <row r="650" spans="1:8" x14ac:dyDescent="0.25">
      <c r="A650" s="402"/>
      <c r="B650" s="134" t="s">
        <v>1688</v>
      </c>
      <c r="C650" s="134" t="s">
        <v>941</v>
      </c>
      <c r="D650" s="117">
        <f t="shared" si="69"/>
        <v>571</v>
      </c>
      <c r="E650" s="130" t="str">
        <f t="shared" si="68"/>
        <v>Rp. 62,500,000</v>
      </c>
      <c r="F650" s="130"/>
      <c r="G650" s="86" t="s">
        <v>1369</v>
      </c>
      <c r="H650" s="89"/>
    </row>
    <row r="651" spans="1:8" x14ac:dyDescent="0.25">
      <c r="A651" s="402"/>
      <c r="B651" s="134" t="s">
        <v>1616</v>
      </c>
      <c r="C651" s="134" t="s">
        <v>1617</v>
      </c>
      <c r="D651" s="117">
        <f t="shared" si="69"/>
        <v>572</v>
      </c>
      <c r="E651" s="130" t="str">
        <f t="shared" si="68"/>
        <v>Rp. 51,633,500</v>
      </c>
      <c r="F651" s="130"/>
      <c r="G651" s="86" t="s">
        <v>1370</v>
      </c>
      <c r="H651" s="89"/>
    </row>
    <row r="652" spans="1:8" x14ac:dyDescent="0.25">
      <c r="A652" s="402"/>
      <c r="B652" s="134" t="s">
        <v>1689</v>
      </c>
      <c r="C652" s="134" t="s">
        <v>942</v>
      </c>
      <c r="D652" s="117">
        <f t="shared" si="69"/>
        <v>573</v>
      </c>
      <c r="E652" s="130" t="str">
        <f t="shared" si="68"/>
        <v>Rp. 0</v>
      </c>
      <c r="F652" s="130"/>
      <c r="G652" s="86" t="s">
        <v>1345</v>
      </c>
      <c r="H652" s="89"/>
    </row>
    <row r="653" spans="1:8" x14ac:dyDescent="0.25">
      <c r="A653" s="402"/>
      <c r="B653" s="134" t="s">
        <v>1618</v>
      </c>
      <c r="C653" s="134" t="s">
        <v>1619</v>
      </c>
      <c r="D653" s="117">
        <f t="shared" si="69"/>
        <v>574</v>
      </c>
      <c r="E653" s="130" t="str">
        <f t="shared" si="68"/>
        <v>Rp. 0</v>
      </c>
      <c r="F653" s="130"/>
      <c r="G653" s="86" t="s">
        <v>1345</v>
      </c>
      <c r="H653" s="89"/>
    </row>
    <row r="654" spans="1:8" x14ac:dyDescent="0.25">
      <c r="A654" s="403"/>
      <c r="B654" s="134" t="s">
        <v>1690</v>
      </c>
      <c r="C654" s="134" t="s">
        <v>944</v>
      </c>
      <c r="D654" s="117">
        <f t="shared" si="69"/>
        <v>575</v>
      </c>
      <c r="E654" s="130" t="str">
        <f t="shared" si="68"/>
        <v>Rp. 0</v>
      </c>
      <c r="F654" s="130"/>
      <c r="G654" s="86" t="s">
        <v>1345</v>
      </c>
      <c r="H654" s="89"/>
    </row>
    <row r="655" spans="1:8" x14ac:dyDescent="0.25">
      <c r="A655" s="334"/>
      <c r="B655" s="335" t="s">
        <v>1141</v>
      </c>
      <c r="C655" s="336"/>
      <c r="D655" s="129"/>
      <c r="E655" s="130"/>
      <c r="F655" s="130"/>
      <c r="G655" s="86"/>
      <c r="H655" s="89"/>
    </row>
    <row r="656" spans="1:8" x14ac:dyDescent="0.25">
      <c r="A656" s="401">
        <f>A641+1</f>
        <v>702</v>
      </c>
      <c r="B656" s="134" t="s">
        <v>1153</v>
      </c>
      <c r="C656" s="134" t="s">
        <v>1142</v>
      </c>
      <c r="D656" s="117">
        <f>1+D654</f>
        <v>576</v>
      </c>
      <c r="E656" s="120">
        <f>G656</f>
        <v>1</v>
      </c>
      <c r="F656" s="120"/>
      <c r="G656" s="9">
        <v>1</v>
      </c>
      <c r="H656" s="89"/>
    </row>
    <row r="657" spans="1:8" x14ac:dyDescent="0.25">
      <c r="A657" s="402"/>
      <c r="B657" s="134" t="s">
        <v>1154</v>
      </c>
      <c r="C657" s="134" t="s">
        <v>1143</v>
      </c>
      <c r="D657" s="117">
        <f>1+D656</f>
        <v>577</v>
      </c>
      <c r="E657" s="120">
        <f t="shared" ref="E657:E664" si="70">G657</f>
        <v>1</v>
      </c>
      <c r="F657" s="120"/>
      <c r="G657" s="9">
        <v>1</v>
      </c>
      <c r="H657" s="89"/>
    </row>
    <row r="658" spans="1:8" x14ac:dyDescent="0.25">
      <c r="A658" s="402"/>
      <c r="B658" s="134" t="s">
        <v>1155</v>
      </c>
      <c r="C658" s="134" t="s">
        <v>1144</v>
      </c>
      <c r="D658" s="117">
        <f t="shared" ref="D658:D664" si="71">1+D657</f>
        <v>578</v>
      </c>
      <c r="E658" s="120">
        <f t="shared" si="70"/>
        <v>1</v>
      </c>
      <c r="F658" s="120"/>
      <c r="G658" s="9">
        <v>1</v>
      </c>
      <c r="H658" s="89"/>
    </row>
    <row r="659" spans="1:8" x14ac:dyDescent="0.25">
      <c r="A659" s="402"/>
      <c r="B659" s="134" t="s">
        <v>1156</v>
      </c>
      <c r="C659" s="134" t="s">
        <v>1145</v>
      </c>
      <c r="D659" s="117">
        <f t="shared" si="71"/>
        <v>579</v>
      </c>
      <c r="E659" s="120">
        <f t="shared" si="70"/>
        <v>0</v>
      </c>
      <c r="F659" s="120"/>
      <c r="G659" s="9">
        <v>0</v>
      </c>
      <c r="H659" s="89"/>
    </row>
    <row r="660" spans="1:8" x14ac:dyDescent="0.25">
      <c r="A660" s="402"/>
      <c r="B660" s="134" t="s">
        <v>1157</v>
      </c>
      <c r="C660" s="134" t="s">
        <v>1146</v>
      </c>
      <c r="D660" s="117">
        <f t="shared" si="71"/>
        <v>580</v>
      </c>
      <c r="E660" s="120">
        <f t="shared" si="70"/>
        <v>0</v>
      </c>
      <c r="F660" s="120"/>
      <c r="G660" s="9">
        <v>0</v>
      </c>
      <c r="H660" s="89"/>
    </row>
    <row r="661" spans="1:8" x14ac:dyDescent="0.25">
      <c r="A661" s="402"/>
      <c r="B661" s="134" t="s">
        <v>1158</v>
      </c>
      <c r="C661" s="134" t="s">
        <v>1147</v>
      </c>
      <c r="D661" s="117">
        <f t="shared" si="71"/>
        <v>581</v>
      </c>
      <c r="E661" s="120">
        <f t="shared" si="70"/>
        <v>0</v>
      </c>
      <c r="F661" s="120"/>
      <c r="G661" s="9">
        <v>0</v>
      </c>
      <c r="H661" s="89"/>
    </row>
    <row r="662" spans="1:8" x14ac:dyDescent="0.25">
      <c r="A662" s="402"/>
      <c r="B662" s="134" t="s">
        <v>1159</v>
      </c>
      <c r="C662" s="134" t="s">
        <v>1148</v>
      </c>
      <c r="D662" s="117">
        <f t="shared" si="71"/>
        <v>582</v>
      </c>
      <c r="E662" s="120">
        <f t="shared" si="70"/>
        <v>0</v>
      </c>
      <c r="F662" s="120"/>
      <c r="G662" s="9">
        <v>0</v>
      </c>
      <c r="H662" s="89"/>
    </row>
    <row r="663" spans="1:8" x14ac:dyDescent="0.25">
      <c r="A663" s="402"/>
      <c r="B663" s="134" t="s">
        <v>1160</v>
      </c>
      <c r="C663" s="134" t="s">
        <v>1149</v>
      </c>
      <c r="D663" s="117">
        <f t="shared" si="71"/>
        <v>583</v>
      </c>
      <c r="E663" s="120">
        <f t="shared" si="70"/>
        <v>0</v>
      </c>
      <c r="F663" s="120"/>
      <c r="G663" s="9">
        <v>0</v>
      </c>
      <c r="H663" s="89"/>
    </row>
    <row r="664" spans="1:8" x14ac:dyDescent="0.25">
      <c r="A664" s="403"/>
      <c r="B664" s="134" t="s">
        <v>1161</v>
      </c>
      <c r="C664" s="134" t="s">
        <v>1150</v>
      </c>
      <c r="D664" s="117">
        <f t="shared" si="71"/>
        <v>584</v>
      </c>
      <c r="E664" s="120">
        <f t="shared" si="70"/>
        <v>0</v>
      </c>
      <c r="F664" s="120"/>
      <c r="G664" s="9">
        <v>0</v>
      </c>
      <c r="H664" s="89"/>
    </row>
    <row r="665" spans="1:8" x14ac:dyDescent="0.25">
      <c r="A665" s="334"/>
      <c r="B665" s="197" t="s">
        <v>943</v>
      </c>
      <c r="C665" s="198"/>
      <c r="D665" s="339"/>
      <c r="E665" s="118"/>
      <c r="F665" s="118"/>
      <c r="G665" s="9"/>
    </row>
    <row r="666" spans="1:8" x14ac:dyDescent="0.25">
      <c r="A666" s="401">
        <f>A656+1</f>
        <v>703</v>
      </c>
      <c r="B666" s="134" t="s">
        <v>171</v>
      </c>
      <c r="C666" s="134" t="s">
        <v>602</v>
      </c>
      <c r="D666" s="117">
        <f>D664+1</f>
        <v>585</v>
      </c>
      <c r="E666" s="124">
        <f t="shared" si="64"/>
        <v>1</v>
      </c>
      <c r="F666" s="118"/>
      <c r="G666" s="9">
        <v>1</v>
      </c>
      <c r="H666" s="89"/>
    </row>
    <row r="667" spans="1:8" x14ac:dyDescent="0.25">
      <c r="A667" s="402"/>
      <c r="B667" s="134" t="s">
        <v>200</v>
      </c>
      <c r="C667" s="134" t="s">
        <v>603</v>
      </c>
      <c r="D667" s="117">
        <f>D666+1</f>
        <v>586</v>
      </c>
      <c r="E667" s="124">
        <f t="shared" si="64"/>
        <v>1</v>
      </c>
      <c r="F667" s="118"/>
      <c r="G667" s="9">
        <v>1</v>
      </c>
      <c r="H667" s="89"/>
    </row>
    <row r="668" spans="1:8" x14ac:dyDescent="0.25">
      <c r="A668" s="402"/>
      <c r="B668" s="134" t="s">
        <v>201</v>
      </c>
      <c r="C668" s="134" t="s">
        <v>604</v>
      </c>
      <c r="D668" s="117">
        <f>D667+1</f>
        <v>587</v>
      </c>
      <c r="E668" s="124">
        <f t="shared" si="64"/>
        <v>1</v>
      </c>
      <c r="F668" s="118"/>
      <c r="G668" s="9">
        <v>1</v>
      </c>
      <c r="H668" s="89"/>
    </row>
    <row r="669" spans="1:8" x14ac:dyDescent="0.25">
      <c r="A669" s="403"/>
      <c r="B669" s="134" t="s">
        <v>202</v>
      </c>
      <c r="C669" s="134" t="s">
        <v>605</v>
      </c>
      <c r="D669" s="117">
        <f>D668+1</f>
        <v>588</v>
      </c>
      <c r="E669" s="124">
        <f t="shared" si="64"/>
        <v>0</v>
      </c>
      <c r="F669" s="118"/>
      <c r="G669" s="9">
        <v>0</v>
      </c>
      <c r="H669" s="89"/>
    </row>
    <row r="670" spans="1:8" x14ac:dyDescent="0.25">
      <c r="A670" s="107"/>
      <c r="B670" s="335" t="s">
        <v>1151</v>
      </c>
      <c r="C670" s="336"/>
      <c r="D670" s="339"/>
      <c r="E670" s="124"/>
      <c r="F670" s="118"/>
      <c r="G670" s="9"/>
    </row>
    <row r="671" spans="1:8" x14ac:dyDescent="0.25">
      <c r="A671" s="107"/>
      <c r="B671" s="197" t="s">
        <v>1691</v>
      </c>
      <c r="C671" s="198"/>
      <c r="D671" s="339"/>
      <c r="E671" s="124"/>
      <c r="F671" s="118"/>
      <c r="G671" s="9"/>
    </row>
    <row r="672" spans="1:8" x14ac:dyDescent="0.25">
      <c r="A672" s="401">
        <f>A666+1</f>
        <v>704</v>
      </c>
      <c r="B672" s="134" t="s">
        <v>945</v>
      </c>
      <c r="C672" s="134" t="s">
        <v>961</v>
      </c>
      <c r="D672" s="117">
        <f>D669+1</f>
        <v>589</v>
      </c>
      <c r="E672" s="130" t="str">
        <f>G672</f>
        <v>Rp. 499,110,808</v>
      </c>
      <c r="F672" s="130"/>
      <c r="G672" s="86" t="s">
        <v>1371</v>
      </c>
      <c r="H672" s="89"/>
    </row>
    <row r="673" spans="1:8" x14ac:dyDescent="0.25">
      <c r="A673" s="402"/>
      <c r="B673" s="134" t="s">
        <v>1190</v>
      </c>
      <c r="C673" s="134" t="s">
        <v>962</v>
      </c>
      <c r="D673" s="117">
        <f>D672+1</f>
        <v>590</v>
      </c>
      <c r="E673" s="130" t="str">
        <f t="shared" ref="E673:E683" si="72">G673</f>
        <v>Rp. 315,641,000</v>
      </c>
      <c r="F673" s="130"/>
      <c r="G673" s="86" t="s">
        <v>1372</v>
      </c>
      <c r="H673" s="89"/>
    </row>
    <row r="674" spans="1:8" x14ac:dyDescent="0.25">
      <c r="A674" s="402"/>
      <c r="B674" s="134" t="s">
        <v>1191</v>
      </c>
      <c r="C674" s="134" t="s">
        <v>963</v>
      </c>
      <c r="D674" s="117">
        <f t="shared" ref="D674:D683" si="73">D673+1</f>
        <v>591</v>
      </c>
      <c r="E674" s="130" t="str">
        <f t="shared" si="72"/>
        <v>Rp. 0</v>
      </c>
      <c r="F674" s="130"/>
      <c r="G674" s="86" t="s">
        <v>1345</v>
      </c>
      <c r="H674" s="89"/>
    </row>
    <row r="675" spans="1:8" x14ac:dyDescent="0.25">
      <c r="A675" s="402"/>
      <c r="B675" s="134" t="s">
        <v>1192</v>
      </c>
      <c r="C675" s="134" t="s">
        <v>964</v>
      </c>
      <c r="D675" s="117">
        <f t="shared" si="73"/>
        <v>592</v>
      </c>
      <c r="E675" s="130" t="str">
        <f t="shared" si="72"/>
        <v>Rp. 0</v>
      </c>
      <c r="F675" s="130"/>
      <c r="G675" s="86" t="s">
        <v>1345</v>
      </c>
      <c r="H675" s="89"/>
    </row>
    <row r="676" spans="1:8" x14ac:dyDescent="0.25">
      <c r="A676" s="402"/>
      <c r="B676" s="134" t="s">
        <v>1193</v>
      </c>
      <c r="C676" s="134" t="s">
        <v>965</v>
      </c>
      <c r="D676" s="117">
        <f t="shared" si="73"/>
        <v>593</v>
      </c>
      <c r="E676" s="130" t="str">
        <f t="shared" si="72"/>
        <v>Rp. 0</v>
      </c>
      <c r="F676" s="130"/>
      <c r="G676" s="86" t="s">
        <v>1345</v>
      </c>
      <c r="H676" s="89"/>
    </row>
    <row r="677" spans="1:8" x14ac:dyDescent="0.25">
      <c r="A677" s="403"/>
      <c r="B677" s="134" t="s">
        <v>1194</v>
      </c>
      <c r="C677" s="134" t="s">
        <v>1195</v>
      </c>
      <c r="D677" s="117">
        <f t="shared" si="73"/>
        <v>594</v>
      </c>
      <c r="E677" s="130" t="str">
        <f t="shared" si="72"/>
        <v>Rp. 0</v>
      </c>
      <c r="F677" s="130"/>
      <c r="G677" s="86" t="s">
        <v>1345</v>
      </c>
      <c r="H677" s="89"/>
    </row>
    <row r="678" spans="1:8" x14ac:dyDescent="0.25">
      <c r="A678" s="401">
        <f>A672+1</f>
        <v>705</v>
      </c>
      <c r="B678" s="134" t="s">
        <v>1620</v>
      </c>
      <c r="C678" s="134" t="s">
        <v>1621</v>
      </c>
      <c r="D678" s="117">
        <f t="shared" si="73"/>
        <v>595</v>
      </c>
      <c r="E678" s="130" t="str">
        <f t="shared" si="72"/>
        <v>Rp. 548,308,148</v>
      </c>
      <c r="F678" s="130"/>
      <c r="G678" s="86" t="s">
        <v>1373</v>
      </c>
      <c r="H678" s="89"/>
    </row>
    <row r="679" spans="1:8" x14ac:dyDescent="0.25">
      <c r="A679" s="402"/>
      <c r="B679" s="134" t="s">
        <v>1622</v>
      </c>
      <c r="C679" s="134" t="s">
        <v>1623</v>
      </c>
      <c r="D679" s="117">
        <f t="shared" si="73"/>
        <v>596</v>
      </c>
      <c r="E679" s="130" t="str">
        <f t="shared" si="72"/>
        <v>Rp. 459,882,000</v>
      </c>
      <c r="F679" s="130"/>
      <c r="G679" s="86" t="s">
        <v>1374</v>
      </c>
      <c r="H679" s="89"/>
    </row>
    <row r="680" spans="1:8" x14ac:dyDescent="0.25">
      <c r="A680" s="402"/>
      <c r="B680" s="134" t="s">
        <v>1624</v>
      </c>
      <c r="C680" s="134" t="s">
        <v>1625</v>
      </c>
      <c r="D680" s="117">
        <f t="shared" si="73"/>
        <v>597</v>
      </c>
      <c r="E680" s="130" t="str">
        <f t="shared" si="72"/>
        <v>Rp. 0</v>
      </c>
      <c r="F680" s="130"/>
      <c r="G680" s="86" t="s">
        <v>1345</v>
      </c>
      <c r="H680" s="89"/>
    </row>
    <row r="681" spans="1:8" x14ac:dyDescent="0.25">
      <c r="A681" s="402"/>
      <c r="B681" s="134" t="s">
        <v>1626</v>
      </c>
      <c r="C681" s="134" t="s">
        <v>1627</v>
      </c>
      <c r="D681" s="117">
        <f t="shared" si="73"/>
        <v>598</v>
      </c>
      <c r="E681" s="130" t="str">
        <f t="shared" si="72"/>
        <v>Rp. 0</v>
      </c>
      <c r="F681" s="130"/>
      <c r="G681" s="86" t="s">
        <v>1345</v>
      </c>
      <c r="H681" s="89"/>
    </row>
    <row r="682" spans="1:8" x14ac:dyDescent="0.25">
      <c r="A682" s="402"/>
      <c r="B682" s="134" t="s">
        <v>1628</v>
      </c>
      <c r="C682" s="134" t="s">
        <v>1629</v>
      </c>
      <c r="D682" s="117">
        <f t="shared" si="73"/>
        <v>599</v>
      </c>
      <c r="E682" s="130" t="str">
        <f t="shared" si="72"/>
        <v>Rp. 73,891,148</v>
      </c>
      <c r="F682" s="130"/>
      <c r="G682" s="86" t="s">
        <v>1375</v>
      </c>
      <c r="H682" s="89"/>
    </row>
    <row r="683" spans="1:8" x14ac:dyDescent="0.25">
      <c r="A683" s="403"/>
      <c r="B683" s="134" t="s">
        <v>1630</v>
      </c>
      <c r="C683" s="134" t="s">
        <v>1631</v>
      </c>
      <c r="D683" s="117">
        <f t="shared" si="73"/>
        <v>600</v>
      </c>
      <c r="E683" s="130" t="str">
        <f t="shared" si="72"/>
        <v>Rp. 0</v>
      </c>
      <c r="F683" s="130"/>
      <c r="G683" s="86" t="s">
        <v>1345</v>
      </c>
      <c r="H683" s="89"/>
    </row>
    <row r="684" spans="1:8" x14ac:dyDescent="0.25">
      <c r="A684" s="107"/>
      <c r="B684" s="225" t="s">
        <v>1692</v>
      </c>
      <c r="C684" s="226"/>
      <c r="D684" s="339"/>
      <c r="E684" s="124"/>
      <c r="F684" s="118"/>
      <c r="G684" s="9"/>
    </row>
    <row r="685" spans="1:8" x14ac:dyDescent="0.25">
      <c r="A685" s="401">
        <f>A678+1</f>
        <v>706</v>
      </c>
      <c r="B685" s="134" t="s">
        <v>946</v>
      </c>
      <c r="C685" s="134" t="s">
        <v>966</v>
      </c>
      <c r="D685" s="117">
        <f>D683+1</f>
        <v>601</v>
      </c>
      <c r="E685" s="130" t="str">
        <f>G685</f>
        <v>Rp. 957,341,020</v>
      </c>
      <c r="F685" s="130"/>
      <c r="G685" s="86" t="s">
        <v>1376</v>
      </c>
      <c r="H685" s="89"/>
    </row>
    <row r="686" spans="1:8" x14ac:dyDescent="0.25">
      <c r="A686" s="402"/>
      <c r="B686" s="134" t="s">
        <v>947</v>
      </c>
      <c r="C686" s="134" t="s">
        <v>967</v>
      </c>
      <c r="D686" s="117">
        <f>D685+1</f>
        <v>602</v>
      </c>
      <c r="E686" s="130" t="str">
        <f t="shared" ref="E686:E702" si="74">G686</f>
        <v>Rp. 9,600,000</v>
      </c>
      <c r="F686" s="130"/>
      <c r="G686" s="86" t="s">
        <v>1377</v>
      </c>
      <c r="H686" s="89"/>
    </row>
    <row r="687" spans="1:8" x14ac:dyDescent="0.25">
      <c r="A687" s="402"/>
      <c r="B687" s="134" t="s">
        <v>948</v>
      </c>
      <c r="C687" s="134" t="s">
        <v>968</v>
      </c>
      <c r="D687" s="117">
        <f t="shared" ref="D687:D702" si="75">D686+1</f>
        <v>603</v>
      </c>
      <c r="E687" s="130" t="str">
        <f t="shared" si="74"/>
        <v>Rp. 96,863,150</v>
      </c>
      <c r="F687" s="130"/>
      <c r="G687" s="86" t="s">
        <v>1378</v>
      </c>
      <c r="H687" s="89"/>
    </row>
    <row r="688" spans="1:8" x14ac:dyDescent="0.25">
      <c r="A688" s="402"/>
      <c r="B688" s="134" t="s">
        <v>1196</v>
      </c>
      <c r="C688" s="134" t="s">
        <v>1197</v>
      </c>
      <c r="D688" s="117">
        <f t="shared" si="75"/>
        <v>604</v>
      </c>
      <c r="E688" s="130" t="str">
        <f t="shared" si="74"/>
        <v>Rp. 0</v>
      </c>
      <c r="F688" s="130"/>
      <c r="G688" s="86" t="s">
        <v>1345</v>
      </c>
      <c r="H688" s="89"/>
    </row>
    <row r="689" spans="1:8" x14ac:dyDescent="0.25">
      <c r="A689" s="402"/>
      <c r="B689" s="134" t="s">
        <v>1198</v>
      </c>
      <c r="C689" s="134" t="s">
        <v>969</v>
      </c>
      <c r="D689" s="117">
        <f t="shared" si="75"/>
        <v>605</v>
      </c>
      <c r="E689" s="130" t="str">
        <f t="shared" si="74"/>
        <v>Rp. 24,642,200</v>
      </c>
      <c r="F689" s="130"/>
      <c r="G689" s="86" t="s">
        <v>1379</v>
      </c>
      <c r="H689" s="89"/>
    </row>
    <row r="690" spans="1:8" x14ac:dyDescent="0.25">
      <c r="A690" s="402"/>
      <c r="B690" s="134" t="s">
        <v>1199</v>
      </c>
      <c r="C690" s="134" t="s">
        <v>970</v>
      </c>
      <c r="D690" s="117">
        <f t="shared" si="75"/>
        <v>606</v>
      </c>
      <c r="E690" s="130" t="str">
        <f t="shared" si="74"/>
        <v>Rp. 0</v>
      </c>
      <c r="F690" s="130"/>
      <c r="G690" s="86" t="s">
        <v>1345</v>
      </c>
      <c r="H690" s="89"/>
    </row>
    <row r="691" spans="1:8" x14ac:dyDescent="0.25">
      <c r="A691" s="402"/>
      <c r="B691" s="134" t="s">
        <v>1200</v>
      </c>
      <c r="C691" s="134" t="s">
        <v>971</v>
      </c>
      <c r="D691" s="117">
        <f t="shared" si="75"/>
        <v>607</v>
      </c>
      <c r="E691" s="130" t="str">
        <f t="shared" si="74"/>
        <v>Rp. 15,989,850</v>
      </c>
      <c r="F691" s="130"/>
      <c r="G691" s="86" t="s">
        <v>1380</v>
      </c>
      <c r="H691" s="89"/>
    </row>
    <row r="692" spans="1:8" x14ac:dyDescent="0.25">
      <c r="A692" s="402"/>
      <c r="B692" s="134" t="s">
        <v>1201</v>
      </c>
      <c r="C692" s="134" t="s">
        <v>972</v>
      </c>
      <c r="D692" s="117">
        <f t="shared" si="75"/>
        <v>608</v>
      </c>
      <c r="E692" s="130" t="str">
        <f t="shared" si="74"/>
        <v>Rp. 12,235,200</v>
      </c>
      <c r="F692" s="130"/>
      <c r="G692" s="86" t="s">
        <v>1381</v>
      </c>
      <c r="H692" s="89"/>
    </row>
    <row r="693" spans="1:8" x14ac:dyDescent="0.25">
      <c r="A693" s="403"/>
      <c r="B693" s="134" t="s">
        <v>1202</v>
      </c>
      <c r="C693" s="134" t="s">
        <v>973</v>
      </c>
      <c r="D693" s="117">
        <f t="shared" si="75"/>
        <v>609</v>
      </c>
      <c r="E693" s="130" t="str">
        <f t="shared" si="74"/>
        <v>Rp. 0</v>
      </c>
      <c r="F693" s="130"/>
      <c r="G693" s="86" t="s">
        <v>1345</v>
      </c>
      <c r="H693" s="89"/>
    </row>
    <row r="694" spans="1:8" x14ac:dyDescent="0.25">
      <c r="A694" s="401">
        <f>A685+1</f>
        <v>707</v>
      </c>
      <c r="B694" s="134" t="s">
        <v>1632</v>
      </c>
      <c r="C694" s="134" t="s">
        <v>1633</v>
      </c>
      <c r="D694" s="117">
        <f t="shared" si="75"/>
        <v>610</v>
      </c>
      <c r="E694" s="130" t="str">
        <f t="shared" si="74"/>
        <v>Rp. 1,122,065,151</v>
      </c>
      <c r="F694" s="130"/>
      <c r="G694" s="86" t="s">
        <v>1382</v>
      </c>
      <c r="H694" s="89"/>
    </row>
    <row r="695" spans="1:8" x14ac:dyDescent="0.25">
      <c r="A695" s="402"/>
      <c r="B695" s="134" t="s">
        <v>1634</v>
      </c>
      <c r="C695" s="134" t="s">
        <v>1635</v>
      </c>
      <c r="D695" s="117">
        <f t="shared" si="75"/>
        <v>611</v>
      </c>
      <c r="E695" s="130" t="str">
        <f t="shared" si="74"/>
        <v>Rp. 102,134,351</v>
      </c>
      <c r="F695" s="130"/>
      <c r="G695" s="86" t="s">
        <v>1383</v>
      </c>
      <c r="H695" s="89"/>
    </row>
    <row r="696" spans="1:8" x14ac:dyDescent="0.25">
      <c r="A696" s="402"/>
      <c r="B696" s="134" t="s">
        <v>1636</v>
      </c>
      <c r="C696" s="134" t="s">
        <v>1637</v>
      </c>
      <c r="D696" s="117">
        <f t="shared" si="75"/>
        <v>612</v>
      </c>
      <c r="E696" s="130" t="str">
        <f t="shared" si="74"/>
        <v>Rp. 25,200,000</v>
      </c>
      <c r="F696" s="130"/>
      <c r="G696" s="86" t="s">
        <v>1384</v>
      </c>
      <c r="H696" s="89"/>
    </row>
    <row r="697" spans="1:8" x14ac:dyDescent="0.25">
      <c r="A697" s="402"/>
      <c r="B697" s="134" t="s">
        <v>1638</v>
      </c>
      <c r="C697" s="134" t="s">
        <v>1639</v>
      </c>
      <c r="D697" s="117">
        <f t="shared" si="75"/>
        <v>613</v>
      </c>
      <c r="E697" s="130" t="str">
        <f t="shared" si="74"/>
        <v>Rp. 975,522,349</v>
      </c>
      <c r="F697" s="130"/>
      <c r="G697" s="86" t="s">
        <v>1385</v>
      </c>
      <c r="H697" s="89"/>
    </row>
    <row r="698" spans="1:8" x14ac:dyDescent="0.25">
      <c r="A698" s="402"/>
      <c r="B698" s="134" t="s">
        <v>1640</v>
      </c>
      <c r="C698" s="134" t="s">
        <v>1641</v>
      </c>
      <c r="D698" s="117">
        <f t="shared" si="75"/>
        <v>614</v>
      </c>
      <c r="E698" s="130" t="str">
        <f t="shared" si="74"/>
        <v>Rp. 33,644,300</v>
      </c>
      <c r="F698" s="130"/>
      <c r="G698" s="86" t="s">
        <v>1386</v>
      </c>
      <c r="H698" s="89"/>
    </row>
    <row r="699" spans="1:8" x14ac:dyDescent="0.25">
      <c r="A699" s="402"/>
      <c r="B699" s="134" t="s">
        <v>1642</v>
      </c>
      <c r="C699" s="134" t="s">
        <v>1643</v>
      </c>
      <c r="D699" s="117">
        <f t="shared" si="75"/>
        <v>615</v>
      </c>
      <c r="E699" s="130" t="str">
        <f t="shared" si="74"/>
        <v>Rp. 20,450,000</v>
      </c>
      <c r="F699" s="130"/>
      <c r="G699" s="86" t="s">
        <v>1387</v>
      </c>
      <c r="H699" s="89"/>
    </row>
    <row r="700" spans="1:8" x14ac:dyDescent="0.25">
      <c r="A700" s="402"/>
      <c r="B700" s="134" t="s">
        <v>1644</v>
      </c>
      <c r="C700" s="134" t="s">
        <v>1645</v>
      </c>
      <c r="D700" s="117">
        <f t="shared" si="75"/>
        <v>616</v>
      </c>
      <c r="E700" s="130" t="str">
        <f t="shared" si="74"/>
        <v>Rp. 0</v>
      </c>
      <c r="F700" s="130"/>
      <c r="G700" s="86" t="s">
        <v>1345</v>
      </c>
      <c r="H700" s="89"/>
    </row>
    <row r="701" spans="1:8" x14ac:dyDescent="0.25">
      <c r="A701" s="402"/>
      <c r="B701" s="134" t="s">
        <v>1646</v>
      </c>
      <c r="C701" s="134" t="s">
        <v>1647</v>
      </c>
      <c r="D701" s="117">
        <f t="shared" si="75"/>
        <v>617</v>
      </c>
      <c r="E701" s="130" t="str">
        <f t="shared" si="74"/>
        <v>Rp. 0</v>
      </c>
      <c r="F701" s="130"/>
      <c r="G701" s="86" t="s">
        <v>1345</v>
      </c>
      <c r="H701" s="89"/>
    </row>
    <row r="702" spans="1:8" x14ac:dyDescent="0.25">
      <c r="A702" s="402"/>
      <c r="B702" s="134" t="s">
        <v>1648</v>
      </c>
      <c r="C702" s="134" t="s">
        <v>1649</v>
      </c>
      <c r="D702" s="117">
        <f t="shared" si="75"/>
        <v>618</v>
      </c>
      <c r="E702" s="130" t="str">
        <f t="shared" si="74"/>
        <v>Rp. 0</v>
      </c>
      <c r="F702" s="130"/>
      <c r="G702" s="86" t="s">
        <v>1345</v>
      </c>
      <c r="H702" s="89"/>
    </row>
    <row r="703" spans="1:8" x14ac:dyDescent="0.25">
      <c r="A703" s="107"/>
      <c r="B703" s="197" t="s">
        <v>1693</v>
      </c>
      <c r="C703" s="198"/>
      <c r="D703" s="339"/>
      <c r="E703" s="124"/>
      <c r="F703" s="118"/>
      <c r="G703" s="9"/>
    </row>
    <row r="704" spans="1:8" x14ac:dyDescent="0.25">
      <c r="A704" s="401">
        <f>A694+1</f>
        <v>708</v>
      </c>
      <c r="B704" s="134" t="s">
        <v>949</v>
      </c>
      <c r="C704" s="134" t="s">
        <v>974</v>
      </c>
      <c r="D704" s="117">
        <f>D702+1</f>
        <v>619</v>
      </c>
      <c r="E704" s="130" t="str">
        <f>G704</f>
        <v>Rp. 80,658,900</v>
      </c>
      <c r="F704" s="130"/>
      <c r="G704" s="86" t="s">
        <v>1388</v>
      </c>
      <c r="H704" s="89"/>
    </row>
    <row r="705" spans="1:8" x14ac:dyDescent="0.25">
      <c r="A705" s="402"/>
      <c r="B705" s="134" t="s">
        <v>950</v>
      </c>
      <c r="C705" s="134" t="s">
        <v>975</v>
      </c>
      <c r="D705" s="117">
        <f>D704+1</f>
        <v>620</v>
      </c>
      <c r="E705" s="130" t="str">
        <f t="shared" ref="E705:E713" si="76">G705</f>
        <v>Rp. 17,926,000</v>
      </c>
      <c r="F705" s="130"/>
      <c r="G705" s="86" t="s">
        <v>1389</v>
      </c>
      <c r="H705" s="89"/>
    </row>
    <row r="706" spans="1:8" x14ac:dyDescent="0.25">
      <c r="A706" s="402"/>
      <c r="B706" s="134" t="s">
        <v>951</v>
      </c>
      <c r="C706" s="134" t="s">
        <v>976</v>
      </c>
      <c r="D706" s="117">
        <f t="shared" ref="D706:D713" si="77">D705+1</f>
        <v>621</v>
      </c>
      <c r="E706" s="130" t="str">
        <f t="shared" si="76"/>
        <v>Rp. 17,842,400</v>
      </c>
      <c r="F706" s="130"/>
      <c r="G706" s="86" t="s">
        <v>1390</v>
      </c>
      <c r="H706" s="89"/>
    </row>
    <row r="707" spans="1:8" x14ac:dyDescent="0.25">
      <c r="A707" s="402"/>
      <c r="B707" s="134" t="s">
        <v>952</v>
      </c>
      <c r="C707" s="134" t="s">
        <v>977</v>
      </c>
      <c r="D707" s="117">
        <f t="shared" si="77"/>
        <v>622</v>
      </c>
      <c r="E707" s="130" t="str">
        <f t="shared" si="76"/>
        <v>Rp. 15,108,900</v>
      </c>
      <c r="F707" s="130"/>
      <c r="G707" s="86" t="s">
        <v>1391</v>
      </c>
      <c r="H707" s="89"/>
    </row>
    <row r="708" spans="1:8" x14ac:dyDescent="0.25">
      <c r="A708" s="403"/>
      <c r="B708" s="134" t="s">
        <v>953</v>
      </c>
      <c r="C708" s="134" t="s">
        <v>978</v>
      </c>
      <c r="D708" s="117">
        <f t="shared" si="77"/>
        <v>623</v>
      </c>
      <c r="E708" s="130" t="str">
        <f t="shared" si="76"/>
        <v>Rp. 22,951,000</v>
      </c>
      <c r="F708" s="130"/>
      <c r="G708" s="86" t="s">
        <v>1392</v>
      </c>
      <c r="H708" s="89"/>
    </row>
    <row r="709" spans="1:8" x14ac:dyDescent="0.25">
      <c r="A709" s="401">
        <f>A704+1</f>
        <v>709</v>
      </c>
      <c r="B709" s="134" t="s">
        <v>1650</v>
      </c>
      <c r="C709" s="134" t="s">
        <v>1651</v>
      </c>
      <c r="D709" s="117">
        <f t="shared" si="77"/>
        <v>624</v>
      </c>
      <c r="E709" s="130" t="str">
        <f t="shared" si="76"/>
        <v>Rp. 111,143,000</v>
      </c>
      <c r="F709" s="130"/>
      <c r="G709" s="86" t="s">
        <v>1393</v>
      </c>
      <c r="H709" s="89"/>
    </row>
    <row r="710" spans="1:8" x14ac:dyDescent="0.25">
      <c r="A710" s="402"/>
      <c r="B710" s="135" t="s">
        <v>1652</v>
      </c>
      <c r="C710" s="134" t="s">
        <v>1653</v>
      </c>
      <c r="D710" s="117">
        <f t="shared" si="77"/>
        <v>625</v>
      </c>
      <c r="E710" s="130" t="str">
        <f t="shared" si="76"/>
        <v>Rp. 29,790,000</v>
      </c>
      <c r="F710" s="130"/>
      <c r="G710" s="86" t="s">
        <v>1394</v>
      </c>
      <c r="H710" s="89"/>
    </row>
    <row r="711" spans="1:8" x14ac:dyDescent="0.25">
      <c r="A711" s="402"/>
      <c r="B711" s="135" t="s">
        <v>1654</v>
      </c>
      <c r="C711" s="134" t="s">
        <v>1655</v>
      </c>
      <c r="D711" s="117">
        <f t="shared" si="77"/>
        <v>626</v>
      </c>
      <c r="E711" s="130" t="str">
        <f t="shared" si="76"/>
        <v>Rp. 18,880,000</v>
      </c>
      <c r="F711" s="130"/>
      <c r="G711" s="86" t="s">
        <v>1395</v>
      </c>
      <c r="H711" s="89"/>
    </row>
    <row r="712" spans="1:8" x14ac:dyDescent="0.25">
      <c r="A712" s="402"/>
      <c r="B712" s="135" t="s">
        <v>1656</v>
      </c>
      <c r="C712" s="134" t="s">
        <v>1657</v>
      </c>
      <c r="D712" s="117">
        <f t="shared" si="77"/>
        <v>627</v>
      </c>
      <c r="E712" s="130" t="str">
        <f t="shared" si="76"/>
        <v>Rp. 13,957,500</v>
      </c>
      <c r="F712" s="130"/>
      <c r="G712" s="86" t="s">
        <v>1396</v>
      </c>
      <c r="H712" s="89"/>
    </row>
    <row r="713" spans="1:8" x14ac:dyDescent="0.25">
      <c r="A713" s="403"/>
      <c r="B713" s="135" t="s">
        <v>1658</v>
      </c>
      <c r="C713" s="134" t="s">
        <v>1659</v>
      </c>
      <c r="D713" s="117">
        <f t="shared" si="77"/>
        <v>628</v>
      </c>
      <c r="E713" s="130" t="str">
        <f t="shared" si="76"/>
        <v>Rp. 48,515,500</v>
      </c>
      <c r="F713" s="130"/>
      <c r="G713" s="86" t="s">
        <v>1397</v>
      </c>
      <c r="H713" s="89"/>
    </row>
    <row r="714" spans="1:8" x14ac:dyDescent="0.25">
      <c r="A714" s="84"/>
      <c r="B714" s="197" t="s">
        <v>1694</v>
      </c>
      <c r="C714" s="198"/>
      <c r="D714" s="339"/>
      <c r="E714" s="124"/>
      <c r="F714" s="118"/>
      <c r="G714" s="12"/>
    </row>
    <row r="715" spans="1:8" x14ac:dyDescent="0.25">
      <c r="A715" s="401">
        <f>A709+1</f>
        <v>710</v>
      </c>
      <c r="B715" s="135" t="s">
        <v>954</v>
      </c>
      <c r="C715" s="134" t="s">
        <v>979</v>
      </c>
      <c r="D715" s="117">
        <f>D713+1</f>
        <v>629</v>
      </c>
      <c r="E715" s="130" t="str">
        <f>G715</f>
        <v>Rp. 130,307,842</v>
      </c>
      <c r="F715" s="130"/>
      <c r="G715" s="86" t="s">
        <v>1398</v>
      </c>
      <c r="H715" s="89"/>
    </row>
    <row r="716" spans="1:8" x14ac:dyDescent="0.25">
      <c r="A716" s="402"/>
      <c r="B716" s="135" t="s">
        <v>955</v>
      </c>
      <c r="C716" s="134" t="s">
        <v>980</v>
      </c>
      <c r="D716" s="117">
        <f>D715+1</f>
        <v>630</v>
      </c>
      <c r="E716" s="130" t="str">
        <f t="shared" ref="E716:E730" si="78">G716</f>
        <v>Rp. 0</v>
      </c>
      <c r="F716" s="130"/>
      <c r="G716" s="86" t="s">
        <v>1345</v>
      </c>
      <c r="H716" s="89"/>
    </row>
    <row r="717" spans="1:8" x14ac:dyDescent="0.25">
      <c r="A717" s="402"/>
      <c r="B717" s="135" t="s">
        <v>956</v>
      </c>
      <c r="C717" s="134" t="s">
        <v>981</v>
      </c>
      <c r="D717" s="117">
        <f t="shared" ref="D717:D730" si="79">D716+1</f>
        <v>631</v>
      </c>
      <c r="E717" s="130" t="str">
        <f t="shared" si="78"/>
        <v>Rp. 0</v>
      </c>
      <c r="F717" s="130"/>
      <c r="G717" s="86" t="s">
        <v>1345</v>
      </c>
      <c r="H717" s="89"/>
    </row>
    <row r="718" spans="1:8" x14ac:dyDescent="0.25">
      <c r="A718" s="402"/>
      <c r="B718" s="135" t="s">
        <v>957</v>
      </c>
      <c r="C718" s="134" t="s">
        <v>982</v>
      </c>
      <c r="D718" s="117">
        <f t="shared" si="79"/>
        <v>632</v>
      </c>
      <c r="E718" s="130" t="str">
        <f t="shared" si="78"/>
        <v>Rp. 0</v>
      </c>
      <c r="F718" s="130"/>
      <c r="G718" s="86" t="s">
        <v>1345</v>
      </c>
      <c r="H718" s="89"/>
    </row>
    <row r="719" spans="1:8" x14ac:dyDescent="0.25">
      <c r="A719" s="402"/>
      <c r="B719" s="135" t="s">
        <v>1203</v>
      </c>
      <c r="C719" s="134" t="s">
        <v>983</v>
      </c>
      <c r="D719" s="117">
        <f t="shared" si="79"/>
        <v>633</v>
      </c>
      <c r="E719" s="130" t="str">
        <f t="shared" si="78"/>
        <v>Rp. 0</v>
      </c>
      <c r="F719" s="130"/>
      <c r="G719" s="86" t="s">
        <v>1345</v>
      </c>
      <c r="H719" s="89"/>
    </row>
    <row r="720" spans="1:8" x14ac:dyDescent="0.25">
      <c r="A720" s="402"/>
      <c r="B720" s="135" t="s">
        <v>1204</v>
      </c>
      <c r="C720" s="134" t="s">
        <v>984</v>
      </c>
      <c r="D720" s="117">
        <f t="shared" si="79"/>
        <v>634</v>
      </c>
      <c r="E720" s="130" t="str">
        <f t="shared" si="78"/>
        <v>Rp. 0</v>
      </c>
      <c r="F720" s="130"/>
      <c r="G720" s="86" t="s">
        <v>1345</v>
      </c>
      <c r="H720" s="89"/>
    </row>
    <row r="721" spans="1:8" x14ac:dyDescent="0.25">
      <c r="A721" s="402"/>
      <c r="B721" s="135" t="s">
        <v>1205</v>
      </c>
      <c r="C721" s="134" t="s">
        <v>985</v>
      </c>
      <c r="D721" s="117">
        <f t="shared" si="79"/>
        <v>635</v>
      </c>
      <c r="E721" s="130" t="str">
        <f t="shared" si="78"/>
        <v>Rp. 16,922,000</v>
      </c>
      <c r="F721" s="130"/>
      <c r="G721" s="86" t="s">
        <v>1399</v>
      </c>
      <c r="H721" s="89"/>
    </row>
    <row r="722" spans="1:8" x14ac:dyDescent="0.25">
      <c r="A722" s="403"/>
      <c r="B722" s="135" t="s">
        <v>1206</v>
      </c>
      <c r="C722" s="134" t="s">
        <v>986</v>
      </c>
      <c r="D722" s="117">
        <f t="shared" si="79"/>
        <v>636</v>
      </c>
      <c r="E722" s="130" t="str">
        <f t="shared" si="78"/>
        <v>Rp. 0</v>
      </c>
      <c r="F722" s="130"/>
      <c r="G722" s="86" t="s">
        <v>1345</v>
      </c>
      <c r="H722" s="89"/>
    </row>
    <row r="723" spans="1:8" x14ac:dyDescent="0.25">
      <c r="A723" s="401">
        <f>A715+1</f>
        <v>711</v>
      </c>
      <c r="B723" s="135" t="s">
        <v>1660</v>
      </c>
      <c r="C723" s="134" t="s">
        <v>1661</v>
      </c>
      <c r="D723" s="117">
        <f t="shared" si="79"/>
        <v>637</v>
      </c>
      <c r="E723" s="130" t="str">
        <f t="shared" si="78"/>
        <v>Rp. 27,425,000</v>
      </c>
      <c r="F723" s="130"/>
      <c r="G723" s="86" t="s">
        <v>1400</v>
      </c>
      <c r="H723" s="89"/>
    </row>
    <row r="724" spans="1:8" x14ac:dyDescent="0.25">
      <c r="A724" s="402"/>
      <c r="B724" s="135" t="s">
        <v>1662</v>
      </c>
      <c r="C724" s="134" t="s">
        <v>1663</v>
      </c>
      <c r="D724" s="117">
        <f t="shared" si="79"/>
        <v>638</v>
      </c>
      <c r="E724" s="130" t="str">
        <f t="shared" si="78"/>
        <v>Rp. 0</v>
      </c>
      <c r="F724" s="130"/>
      <c r="G724" s="86" t="s">
        <v>1345</v>
      </c>
      <c r="H724" s="89"/>
    </row>
    <row r="725" spans="1:8" x14ac:dyDescent="0.25">
      <c r="A725" s="402"/>
      <c r="B725" s="135" t="s">
        <v>1664</v>
      </c>
      <c r="C725" s="134" t="s">
        <v>1665</v>
      </c>
      <c r="D725" s="117">
        <f t="shared" si="79"/>
        <v>639</v>
      </c>
      <c r="E725" s="130" t="str">
        <f t="shared" si="78"/>
        <v>Rp. 27,425,000</v>
      </c>
      <c r="F725" s="130"/>
      <c r="G725" s="86" t="s">
        <v>1400</v>
      </c>
      <c r="H725" s="89"/>
    </row>
    <row r="726" spans="1:8" x14ac:dyDescent="0.25">
      <c r="A726" s="402"/>
      <c r="B726" s="135" t="s">
        <v>1666</v>
      </c>
      <c r="C726" s="134" t="s">
        <v>1667</v>
      </c>
      <c r="D726" s="117">
        <f t="shared" si="79"/>
        <v>640</v>
      </c>
      <c r="E726" s="130" t="str">
        <f t="shared" si="78"/>
        <v>Rp. 0</v>
      </c>
      <c r="F726" s="130"/>
      <c r="G726" s="86" t="s">
        <v>1345</v>
      </c>
      <c r="H726" s="89"/>
    </row>
    <row r="727" spans="1:8" x14ac:dyDescent="0.25">
      <c r="A727" s="402"/>
      <c r="B727" s="135" t="s">
        <v>1668</v>
      </c>
      <c r="C727" s="134" t="s">
        <v>1669</v>
      </c>
      <c r="D727" s="117">
        <f t="shared" si="79"/>
        <v>641</v>
      </c>
      <c r="E727" s="130" t="str">
        <f t="shared" si="78"/>
        <v>Rp. 21,283,500</v>
      </c>
      <c r="F727" s="130"/>
      <c r="G727" s="86" t="s">
        <v>1401</v>
      </c>
      <c r="H727" s="89"/>
    </row>
    <row r="728" spans="1:8" x14ac:dyDescent="0.25">
      <c r="A728" s="402"/>
      <c r="B728" s="135" t="s">
        <v>1670</v>
      </c>
      <c r="C728" s="134" t="s">
        <v>1671</v>
      </c>
      <c r="D728" s="117">
        <f t="shared" si="79"/>
        <v>642</v>
      </c>
      <c r="E728" s="130" t="str">
        <f t="shared" si="78"/>
        <v>Rp. 0</v>
      </c>
      <c r="F728" s="130"/>
      <c r="G728" s="86" t="s">
        <v>1345</v>
      </c>
      <c r="H728" s="89"/>
    </row>
    <row r="729" spans="1:8" x14ac:dyDescent="0.25">
      <c r="A729" s="402"/>
      <c r="B729" s="135" t="s">
        <v>1672</v>
      </c>
      <c r="C729" s="134" t="s">
        <v>1673</v>
      </c>
      <c r="D729" s="117">
        <f t="shared" si="79"/>
        <v>643</v>
      </c>
      <c r="E729" s="130" t="str">
        <f t="shared" si="78"/>
        <v>Rp. 20,956,600</v>
      </c>
      <c r="F729" s="130"/>
      <c r="G729" s="86" t="s">
        <v>1402</v>
      </c>
      <c r="H729" s="89"/>
    </row>
    <row r="730" spans="1:8" x14ac:dyDescent="0.25">
      <c r="A730" s="402"/>
      <c r="B730" s="135" t="s">
        <v>1674</v>
      </c>
      <c r="C730" s="134" t="s">
        <v>1675</v>
      </c>
      <c r="D730" s="117">
        <f t="shared" si="79"/>
        <v>644</v>
      </c>
      <c r="E730" s="130" t="str">
        <f t="shared" si="78"/>
        <v>Rp. 0</v>
      </c>
      <c r="F730" s="130"/>
      <c r="G730" s="86" t="s">
        <v>1345</v>
      </c>
      <c r="H730" s="89"/>
    </row>
    <row r="731" spans="1:8" x14ac:dyDescent="0.25">
      <c r="A731" s="84"/>
      <c r="B731" s="197" t="s">
        <v>1695</v>
      </c>
      <c r="C731" s="198"/>
      <c r="D731" s="339"/>
      <c r="E731" s="124"/>
      <c r="F731" s="118"/>
      <c r="G731" s="12"/>
    </row>
    <row r="732" spans="1:8" x14ac:dyDescent="0.25">
      <c r="A732" s="401">
        <f>A723+1</f>
        <v>712</v>
      </c>
      <c r="B732" s="135" t="s">
        <v>958</v>
      </c>
      <c r="C732" s="134" t="s">
        <v>987</v>
      </c>
      <c r="D732" s="117">
        <f>D730+1</f>
        <v>645</v>
      </c>
      <c r="E732" s="130" t="str">
        <f>G732</f>
        <v>Rp. 0</v>
      </c>
      <c r="F732" s="130"/>
      <c r="G732" s="86" t="s">
        <v>1345</v>
      </c>
      <c r="H732" s="89"/>
    </row>
    <row r="733" spans="1:8" x14ac:dyDescent="0.25">
      <c r="A733" s="402"/>
      <c r="B733" s="135" t="s">
        <v>959</v>
      </c>
      <c r="C733" s="134" t="s">
        <v>988</v>
      </c>
      <c r="D733" s="117">
        <f>D732+1</f>
        <v>646</v>
      </c>
      <c r="E733" s="130" t="str">
        <f t="shared" ref="E733:E746" si="80">G733</f>
        <v>Rp. 0</v>
      </c>
      <c r="F733" s="130"/>
      <c r="G733" s="86" t="s">
        <v>1345</v>
      </c>
      <c r="H733" s="89"/>
    </row>
    <row r="734" spans="1:8" x14ac:dyDescent="0.25">
      <c r="A734" s="402"/>
      <c r="B734" s="135" t="s">
        <v>960</v>
      </c>
      <c r="C734" s="134" t="s">
        <v>989</v>
      </c>
      <c r="D734" s="117">
        <f t="shared" ref="D734:D739" si="81">D733+1</f>
        <v>647</v>
      </c>
      <c r="E734" s="130" t="str">
        <f t="shared" si="80"/>
        <v>Rp. 0</v>
      </c>
      <c r="F734" s="130"/>
      <c r="G734" s="86" t="s">
        <v>1345</v>
      </c>
      <c r="H734" s="89"/>
    </row>
    <row r="735" spans="1:8" x14ac:dyDescent="0.25">
      <c r="A735" s="403"/>
      <c r="B735" s="135" t="s">
        <v>1207</v>
      </c>
      <c r="C735" s="134" t="s">
        <v>990</v>
      </c>
      <c r="D735" s="117">
        <f t="shared" si="81"/>
        <v>648</v>
      </c>
      <c r="E735" s="130" t="str">
        <f t="shared" si="80"/>
        <v>Rp. 0</v>
      </c>
      <c r="F735" s="130"/>
      <c r="G735" s="86" t="s">
        <v>1345</v>
      </c>
      <c r="H735" s="89"/>
    </row>
    <row r="736" spans="1:8" x14ac:dyDescent="0.25">
      <c r="A736" s="401">
        <f>A732+1</f>
        <v>713</v>
      </c>
      <c r="B736" s="135" t="s">
        <v>1676</v>
      </c>
      <c r="C736" s="134" t="s">
        <v>1677</v>
      </c>
      <c r="D736" s="117">
        <f t="shared" si="81"/>
        <v>649</v>
      </c>
      <c r="E736" s="130" t="str">
        <f t="shared" si="80"/>
        <v>Rp. 0</v>
      </c>
      <c r="F736" s="130"/>
      <c r="G736" s="86" t="s">
        <v>1345</v>
      </c>
      <c r="H736" s="89"/>
    </row>
    <row r="737" spans="1:9" x14ac:dyDescent="0.25">
      <c r="A737" s="402"/>
      <c r="B737" s="135" t="s">
        <v>1678</v>
      </c>
      <c r="C737" s="134" t="s">
        <v>1679</v>
      </c>
      <c r="D737" s="117">
        <f t="shared" si="81"/>
        <v>650</v>
      </c>
      <c r="E737" s="130" t="str">
        <f t="shared" si="80"/>
        <v>Rp. 12,640,849</v>
      </c>
      <c r="F737" s="130"/>
      <c r="G737" s="86" t="s">
        <v>1403</v>
      </c>
      <c r="H737" s="89"/>
    </row>
    <row r="738" spans="1:9" x14ac:dyDescent="0.25">
      <c r="A738" s="402"/>
      <c r="B738" s="135" t="s">
        <v>1680</v>
      </c>
      <c r="C738" s="134" t="s">
        <v>1681</v>
      </c>
      <c r="D738" s="117">
        <f t="shared" si="81"/>
        <v>651</v>
      </c>
      <c r="E738" s="130" t="str">
        <f t="shared" si="80"/>
        <v>Rp. 0</v>
      </c>
      <c r="F738" s="130"/>
      <c r="G738" s="96" t="s">
        <v>1345</v>
      </c>
      <c r="H738" s="89"/>
    </row>
    <row r="739" spans="1:9" x14ac:dyDescent="0.25">
      <c r="A739" s="403"/>
      <c r="B739" s="135" t="s">
        <v>1682</v>
      </c>
      <c r="C739" s="134" t="s">
        <v>1683</v>
      </c>
      <c r="D739" s="117">
        <f t="shared" si="81"/>
        <v>652</v>
      </c>
      <c r="E739" s="130" t="str">
        <f t="shared" si="80"/>
        <v>Rp. 0</v>
      </c>
      <c r="F739" s="130"/>
      <c r="G739" s="96" t="s">
        <v>1345</v>
      </c>
      <c r="H739" s="89"/>
    </row>
    <row r="740" spans="1:9" x14ac:dyDescent="0.25">
      <c r="A740" s="107"/>
      <c r="B740" s="199" t="s">
        <v>1162</v>
      </c>
      <c r="C740" s="200"/>
      <c r="D740" s="171"/>
      <c r="E740" s="130"/>
      <c r="F740" s="130"/>
      <c r="G740" s="96"/>
      <c r="H740" s="89"/>
    </row>
    <row r="741" spans="1:9" x14ac:dyDescent="0.25">
      <c r="A741" s="107">
        <f>A736+1</f>
        <v>714</v>
      </c>
      <c r="B741" s="136" t="s">
        <v>1099</v>
      </c>
      <c r="C741" s="134" t="s">
        <v>1166</v>
      </c>
      <c r="D741" s="117">
        <f>D739+1</f>
        <v>653</v>
      </c>
      <c r="E741" s="328">
        <f t="shared" ref="E741" si="82">G741</f>
        <v>14</v>
      </c>
      <c r="F741" s="118" t="s">
        <v>644</v>
      </c>
      <c r="G741" s="324">
        <v>14</v>
      </c>
      <c r="H741" s="89"/>
    </row>
    <row r="742" spans="1:9" x14ac:dyDescent="0.25">
      <c r="A742" s="107">
        <f>A741+1</f>
        <v>715</v>
      </c>
      <c r="B742" s="136" t="s">
        <v>1163</v>
      </c>
      <c r="C742" s="134" t="s">
        <v>1167</v>
      </c>
      <c r="D742" s="117">
        <f>D741+1</f>
        <v>654</v>
      </c>
      <c r="E742" s="118">
        <f t="shared" si="80"/>
        <v>15</v>
      </c>
      <c r="F742" s="118" t="s">
        <v>622</v>
      </c>
      <c r="G742" s="108">
        <v>15</v>
      </c>
      <c r="H742" s="89"/>
    </row>
    <row r="743" spans="1:9" x14ac:dyDescent="0.25">
      <c r="A743" s="107">
        <f t="shared" ref="A743:A746" si="83">A742+1</f>
        <v>716</v>
      </c>
      <c r="B743" s="136" t="s">
        <v>1111</v>
      </c>
      <c r="C743" s="134" t="s">
        <v>1165</v>
      </c>
      <c r="D743" s="117">
        <f>D742+1</f>
        <v>655</v>
      </c>
      <c r="E743" s="137" t="str">
        <f t="shared" si="80"/>
        <v>Rp. 50,000</v>
      </c>
      <c r="F743" s="118"/>
      <c r="G743" s="98" t="s">
        <v>1346</v>
      </c>
      <c r="H743" s="89"/>
    </row>
    <row r="744" spans="1:9" x14ac:dyDescent="0.25">
      <c r="A744" s="107">
        <f t="shared" si="83"/>
        <v>717</v>
      </c>
      <c r="B744" s="136" t="s">
        <v>1100</v>
      </c>
      <c r="C744" s="134" t="s">
        <v>1168</v>
      </c>
      <c r="D744" s="117">
        <f>D743+1</f>
        <v>656</v>
      </c>
      <c r="E744" s="328">
        <f t="shared" si="80"/>
        <v>36</v>
      </c>
      <c r="F744" s="118" t="s">
        <v>644</v>
      </c>
      <c r="G744" s="324">
        <v>36</v>
      </c>
      <c r="H744" s="89"/>
    </row>
    <row r="745" spans="1:9" x14ac:dyDescent="0.25">
      <c r="A745" s="107">
        <f t="shared" si="83"/>
        <v>718</v>
      </c>
      <c r="B745" s="136" t="s">
        <v>1164</v>
      </c>
      <c r="C745" s="134" t="s">
        <v>1169</v>
      </c>
      <c r="D745" s="117">
        <f>D744+1</f>
        <v>657</v>
      </c>
      <c r="E745" s="118">
        <f t="shared" si="80"/>
        <v>60</v>
      </c>
      <c r="F745" s="118" t="s">
        <v>622</v>
      </c>
      <c r="G745" s="97">
        <v>60</v>
      </c>
      <c r="H745" s="89"/>
    </row>
    <row r="746" spans="1:9" x14ac:dyDescent="0.25">
      <c r="A746" s="107">
        <f t="shared" si="83"/>
        <v>719</v>
      </c>
      <c r="B746" s="136" t="s">
        <v>1112</v>
      </c>
      <c r="C746" s="134" t="s">
        <v>1170</v>
      </c>
      <c r="D746" s="117">
        <f>D745+1</f>
        <v>658</v>
      </c>
      <c r="E746" s="137" t="str">
        <f t="shared" si="80"/>
        <v>Rp. 100,000</v>
      </c>
      <c r="F746" s="118" t="s">
        <v>807</v>
      </c>
      <c r="G746" s="98" t="s">
        <v>1404</v>
      </c>
      <c r="H746" s="89"/>
    </row>
    <row r="747" spans="1:9" x14ac:dyDescent="0.25">
      <c r="A747" s="13"/>
      <c r="B747" s="338"/>
      <c r="C747" s="338"/>
      <c r="D747" s="339"/>
      <c r="E747" s="166"/>
      <c r="H747" s="89"/>
    </row>
    <row r="748" spans="1:9" x14ac:dyDescent="0.25">
      <c r="A748" s="3"/>
      <c r="B748" s="4" t="s">
        <v>203</v>
      </c>
      <c r="C748" s="17"/>
      <c r="D748" s="87" t="s">
        <v>1152</v>
      </c>
      <c r="E748" s="18">
        <f t="shared" ref="E748:E834" si="84">G748</f>
        <v>5</v>
      </c>
      <c r="F748" s="19"/>
      <c r="G748" s="11">
        <f>IF(AND(G130&gt;0,G130&lt;=30),5,IF(AND(G130&gt;30,G130&lt;=60),4,IF(AND(G130&gt;60,G130&lt;=90),3,IF(AND(G130&gt;90,G130&lt;=120),2,IF(G130&gt;120,1,"KOREKSI KEMBALI INPUTAN ANDA")))))</f>
        <v>5</v>
      </c>
      <c r="H748" s="89"/>
    </row>
    <row r="749" spans="1:9" x14ac:dyDescent="0.25">
      <c r="A749" s="3"/>
      <c r="B749" s="138" t="s">
        <v>203</v>
      </c>
      <c r="C749" s="139"/>
      <c r="D749" s="117">
        <f>D746+1</f>
        <v>659</v>
      </c>
      <c r="E749" s="118">
        <f>G749</f>
        <v>5</v>
      </c>
      <c r="F749" s="19"/>
      <c r="G749" s="11">
        <f>G748</f>
        <v>5</v>
      </c>
      <c r="H749" s="89"/>
      <c r="I749" s="374"/>
    </row>
    <row r="750" spans="1:9" x14ac:dyDescent="0.25">
      <c r="A750" s="3"/>
      <c r="B750" s="4" t="s">
        <v>204</v>
      </c>
      <c r="C750" s="17"/>
      <c r="D750" s="87" t="s">
        <v>1152</v>
      </c>
      <c r="E750" s="18">
        <f t="shared" si="84"/>
        <v>0</v>
      </c>
      <c r="F750" s="19"/>
      <c r="G750" s="11">
        <f>IF(VALUE(G176)&gt;=1,5,0)</f>
        <v>0</v>
      </c>
      <c r="H750" s="89"/>
    </row>
    <row r="751" spans="1:9" x14ac:dyDescent="0.25">
      <c r="A751" s="3"/>
      <c r="B751" s="138" t="s">
        <v>204</v>
      </c>
      <c r="C751" s="139"/>
      <c r="D751" s="117">
        <f>D749+1</f>
        <v>660</v>
      </c>
      <c r="E751" s="118">
        <f>G751</f>
        <v>0</v>
      </c>
      <c r="F751" s="19"/>
      <c r="G751" s="11">
        <f>G750</f>
        <v>0</v>
      </c>
      <c r="H751" s="89"/>
      <c r="I751" s="374"/>
    </row>
    <row r="752" spans="1:9" x14ac:dyDescent="0.25">
      <c r="A752" s="3"/>
      <c r="B752" s="4" t="s">
        <v>205</v>
      </c>
      <c r="C752" s="17"/>
      <c r="D752" s="87" t="s">
        <v>1152</v>
      </c>
      <c r="E752" s="18">
        <f t="shared" si="84"/>
        <v>5</v>
      </c>
      <c r="F752" s="19"/>
      <c r="G752" s="11">
        <f>IF(VALUE(G173)&gt;=1,5,1)</f>
        <v>5</v>
      </c>
      <c r="H752" s="89"/>
    </row>
    <row r="753" spans="1:9" x14ac:dyDescent="0.25">
      <c r="A753" s="3"/>
      <c r="B753" s="138" t="s">
        <v>205</v>
      </c>
      <c r="C753" s="139"/>
      <c r="D753" s="117">
        <f>D751+1</f>
        <v>661</v>
      </c>
      <c r="E753" s="118">
        <f>G753</f>
        <v>5</v>
      </c>
      <c r="F753" s="19"/>
      <c r="G753" s="11">
        <f>G752</f>
        <v>5</v>
      </c>
      <c r="H753" s="89"/>
      <c r="I753" s="374"/>
    </row>
    <row r="754" spans="1:9" x14ac:dyDescent="0.25">
      <c r="A754" s="3"/>
      <c r="B754" s="4" t="s">
        <v>206</v>
      </c>
      <c r="C754" s="17"/>
      <c r="D754" s="87" t="s">
        <v>1152</v>
      </c>
      <c r="E754" s="18">
        <f t="shared" si="84"/>
        <v>0</v>
      </c>
      <c r="F754" s="19"/>
      <c r="G754" s="11">
        <f>IF(VALUE(G179)&gt;=5,5,IF(VALUE(G179)=4,4,IF(VALUE(G179)=3,4,IF(VALUE(G179)=2,3,IF(VALUE(G179)=1,2,0)))))</f>
        <v>0</v>
      </c>
      <c r="H754" s="89"/>
    </row>
    <row r="755" spans="1:9" x14ac:dyDescent="0.25">
      <c r="A755" s="3"/>
      <c r="B755" s="138" t="s">
        <v>206</v>
      </c>
      <c r="C755" s="139"/>
      <c r="D755" s="117">
        <f>D753+1</f>
        <v>662</v>
      </c>
      <c r="E755" s="118">
        <f>G755</f>
        <v>0</v>
      </c>
      <c r="F755" s="19"/>
      <c r="G755" s="11">
        <f>G754</f>
        <v>0</v>
      </c>
      <c r="H755" s="89"/>
      <c r="I755" s="374"/>
    </row>
    <row r="756" spans="1:9" x14ac:dyDescent="0.25">
      <c r="A756" s="3"/>
      <c r="B756" s="15" t="s">
        <v>669</v>
      </c>
      <c r="C756" s="17"/>
      <c r="D756" s="87" t="s">
        <v>1123</v>
      </c>
      <c r="E756" s="18">
        <f t="shared" si="84"/>
        <v>0.20572562950579876</v>
      </c>
      <c r="F756" s="19"/>
      <c r="G756" s="23">
        <f>IF(G192=0,0,(VALUE(G192)/VALUE(G78)))</f>
        <v>0.20572562950579876</v>
      </c>
      <c r="H756" s="89"/>
    </row>
    <row r="757" spans="1:9" x14ac:dyDescent="0.25">
      <c r="A757" s="3"/>
      <c r="B757" s="4" t="s">
        <v>207</v>
      </c>
      <c r="C757" s="17"/>
      <c r="D757" s="87" t="s">
        <v>1152</v>
      </c>
      <c r="E757" s="18">
        <f t="shared" si="84"/>
        <v>2</v>
      </c>
      <c r="F757" s="19"/>
      <c r="G757" s="11">
        <f>IF(AND(G756&gt;0.75,G756&lt;=1),5,IF(AND(G756&gt;0.59,G756&lt;=0.75),4,IF(AND(G756&gt;0.25,G756&lt;=0.59),3,IF(AND(G756&gt;0,G756&lt;=0.25),2,IF(G756=0,1,"KOREKSI KEMBALI INPUTAN ANDA")))))</f>
        <v>2</v>
      </c>
      <c r="H757" s="89"/>
    </row>
    <row r="758" spans="1:9" x14ac:dyDescent="0.25">
      <c r="A758" s="3"/>
      <c r="B758" s="138" t="s">
        <v>207</v>
      </c>
      <c r="C758" s="139"/>
      <c r="D758" s="117">
        <f>D755+1</f>
        <v>663</v>
      </c>
      <c r="E758" s="118">
        <f>G758</f>
        <v>2</v>
      </c>
      <c r="F758" s="19"/>
      <c r="G758" s="11">
        <f>G757</f>
        <v>2</v>
      </c>
      <c r="H758" s="89"/>
      <c r="I758" s="374"/>
    </row>
    <row r="759" spans="1:9" x14ac:dyDescent="0.25">
      <c r="A759" s="3"/>
      <c r="B759" s="4" t="s">
        <v>208</v>
      </c>
      <c r="C759" s="17"/>
      <c r="D759" s="87" t="s">
        <v>1152</v>
      </c>
      <c r="E759" s="18">
        <f t="shared" si="84"/>
        <v>5</v>
      </c>
      <c r="F759" s="19"/>
      <c r="G759" s="11">
        <f>IF(AND(VALUE(G182)&gt;0,VALUE(G182)&lt;=500),5,IF(AND(VALUE(G182)&gt;500,VALUE(G182)&lt;=1000),4,IF(AND(VALUE(G182)&gt;1000,VALUE(G182)&lt;=2000),3,IF(AND(VALUE(G182)&gt;2000,VALUE(G182)&lt;=3500),2,IF((VALUE(G182)&gt;3500),1,1)))))</f>
        <v>5</v>
      </c>
      <c r="H759" s="89"/>
    </row>
    <row r="760" spans="1:9" x14ac:dyDescent="0.25">
      <c r="A760" s="3"/>
      <c r="B760" s="138" t="s">
        <v>208</v>
      </c>
      <c r="C760" s="139"/>
      <c r="D760" s="117">
        <f>D758+1</f>
        <v>664</v>
      </c>
      <c r="E760" s="118">
        <f>G760</f>
        <v>5</v>
      </c>
      <c r="F760" s="19"/>
      <c r="G760" s="11">
        <f>G759</f>
        <v>5</v>
      </c>
      <c r="H760" s="89"/>
      <c r="I760" s="374"/>
    </row>
    <row r="761" spans="1:9" x14ac:dyDescent="0.25">
      <c r="A761" s="3"/>
      <c r="B761" s="15" t="s">
        <v>668</v>
      </c>
      <c r="C761" s="17"/>
      <c r="D761" s="87" t="s">
        <v>1123</v>
      </c>
      <c r="E761" s="18">
        <f t="shared" si="84"/>
        <v>1</v>
      </c>
      <c r="F761" s="19"/>
      <c r="G761" s="11">
        <f>IF(G187=0,0,IF(G186=0,"KOREKSI KEMBALI INPUTAN ANDA",IF((VALUE(G187)/VALUE(G186))&gt;1,"KOREKSI KEMBALI INPUTAN ANDA",(VALUE(G187)/VALUE(G186)))))</f>
        <v>1</v>
      </c>
      <c r="H761" s="89"/>
    </row>
    <row r="762" spans="1:9" x14ac:dyDescent="0.25">
      <c r="A762" s="3"/>
      <c r="B762" s="4" t="s">
        <v>209</v>
      </c>
      <c r="C762" s="17"/>
      <c r="D762" s="87" t="s">
        <v>1152</v>
      </c>
      <c r="E762" s="18">
        <f t="shared" si="84"/>
        <v>5</v>
      </c>
      <c r="F762" s="19"/>
      <c r="G762" s="11">
        <f>IF(AND(G761&gt;0.75,G761&lt;=1),5,IF(AND(G761&gt;0.59,G761&lt;=0.75),4,IF(AND(G761&gt;0.259,G761&lt;=0.5),3,IF(AND(G761&gt;0,G761&lt;=0.25),2,IF(G761=0,1,"KOREKSI INPUTAN")))))</f>
        <v>5</v>
      </c>
      <c r="H762" s="89"/>
    </row>
    <row r="763" spans="1:9" x14ac:dyDescent="0.25">
      <c r="A763" s="3"/>
      <c r="B763" s="138" t="s">
        <v>209</v>
      </c>
      <c r="C763" s="139"/>
      <c r="D763" s="117">
        <f>D760+1</f>
        <v>665</v>
      </c>
      <c r="E763" s="118">
        <f>G763</f>
        <v>5</v>
      </c>
      <c r="F763" s="19"/>
      <c r="G763" s="11">
        <f>G762</f>
        <v>5</v>
      </c>
      <c r="H763" s="89"/>
      <c r="I763" s="374"/>
    </row>
    <row r="764" spans="1:9" x14ac:dyDescent="0.25">
      <c r="A764" s="3"/>
      <c r="B764" s="4" t="s">
        <v>210</v>
      </c>
      <c r="C764" s="17"/>
      <c r="D764" s="87" t="s">
        <v>1152</v>
      </c>
      <c r="E764" s="18">
        <f t="shared" si="84"/>
        <v>5</v>
      </c>
      <c r="F764" s="19"/>
      <c r="G764" s="11">
        <f>IF(AND(VALUE(G256)&gt;0,VALUE(G256)&lt;=3000),5,IF(AND(VALUE(G256)&gt;3000,VALUE(G256)&lt;=6000),4,IF(AND(VALUE(G256)&gt;6000,VALUE(G256)&lt;=8000),3,IF(AND(VALUE(G256)&gt;8000,VALUE(G256)&lt;=10000),2,IF(VALUE(G256)&gt;10000,1,1)))))</f>
        <v>5</v>
      </c>
      <c r="H764" s="89"/>
    </row>
    <row r="765" spans="1:9" x14ac:dyDescent="0.25">
      <c r="A765" s="3"/>
      <c r="B765" s="138" t="s">
        <v>210</v>
      </c>
      <c r="C765" s="139"/>
      <c r="D765" s="117">
        <f>D763+1</f>
        <v>666</v>
      </c>
      <c r="E765" s="118">
        <f>G765</f>
        <v>5</v>
      </c>
      <c r="F765" s="19"/>
      <c r="G765" s="11">
        <f>G764</f>
        <v>5</v>
      </c>
      <c r="H765" s="89"/>
      <c r="I765" s="374"/>
    </row>
    <row r="766" spans="1:9" x14ac:dyDescent="0.25">
      <c r="A766" s="3"/>
      <c r="B766" s="4" t="s">
        <v>211</v>
      </c>
      <c r="C766" s="17"/>
      <c r="D766" s="87" t="s">
        <v>1152</v>
      </c>
      <c r="E766" s="18">
        <f t="shared" si="84"/>
        <v>5</v>
      </c>
      <c r="F766" s="19"/>
      <c r="G766" s="11">
        <f>IF(AND(VALUE(G260)&gt;0,VALUE(G260)&lt;=6000),5,IF(AND(VALUE(G260)&gt;6000,VALUE(G260)&lt;=8000),4,IF(AND(VALUE(G260)&gt;8000,VALUE(G260)&lt;=10000),3,IF(AND(VALUE(G260)&gt;10000,VALUE(G260)&lt;=12000),2,IF(VALUE(G260)&gt;=12000,1,1)))))</f>
        <v>5</v>
      </c>
      <c r="H766" s="89"/>
    </row>
    <row r="767" spans="1:9" x14ac:dyDescent="0.25">
      <c r="A767" s="3"/>
      <c r="B767" s="138" t="s">
        <v>211</v>
      </c>
      <c r="C767" s="139"/>
      <c r="D767" s="117">
        <f>D765+1</f>
        <v>667</v>
      </c>
      <c r="E767" s="118">
        <f>G767</f>
        <v>5</v>
      </c>
      <c r="F767" s="19"/>
      <c r="G767" s="11">
        <f>G766</f>
        <v>5</v>
      </c>
      <c r="H767" s="89"/>
      <c r="I767" s="374"/>
    </row>
    <row r="768" spans="1:9" x14ac:dyDescent="0.25">
      <c r="A768" s="3"/>
      <c r="B768" s="4" t="s">
        <v>212</v>
      </c>
      <c r="C768" s="17"/>
      <c r="D768" s="87" t="s">
        <v>1152</v>
      </c>
      <c r="E768" s="18">
        <f t="shared" si="84"/>
        <v>1</v>
      </c>
      <c r="F768" s="19"/>
      <c r="G768" s="11">
        <f>IF(AND(VALUE(G264)&gt;0,VALUE(G264)&lt;=6000),5,IF(AND(VALUE(G264)&gt;6000,VALUE(G264)&lt;=8000),4,IF(AND(VALUE(G264)&gt;8000,VALUE(G264)&lt;=10000),3,IF(AND(VALUE(G264)&gt;10000,VALUE(G264)&lt;=12000),2,IF(VALUE(G264)&gt;=12000,1,1)))))</f>
        <v>1</v>
      </c>
      <c r="H768" s="89"/>
    </row>
    <row r="769" spans="1:9" x14ac:dyDescent="0.25">
      <c r="A769" s="3"/>
      <c r="B769" s="138" t="s">
        <v>212</v>
      </c>
      <c r="C769" s="139"/>
      <c r="D769" s="117">
        <f>D767+1</f>
        <v>668</v>
      </c>
      <c r="E769" s="118">
        <f>G769</f>
        <v>1</v>
      </c>
      <c r="F769" s="19"/>
      <c r="G769" s="11">
        <f>G768</f>
        <v>1</v>
      </c>
      <c r="H769" s="89"/>
      <c r="I769" s="374"/>
    </row>
    <row r="770" spans="1:9" x14ac:dyDescent="0.25">
      <c r="A770" s="3"/>
      <c r="B770" s="4" t="s">
        <v>213</v>
      </c>
      <c r="C770" s="17"/>
      <c r="D770" s="87" t="s">
        <v>1152</v>
      </c>
      <c r="E770" s="18">
        <f t="shared" si="84"/>
        <v>5</v>
      </c>
      <c r="F770" s="19"/>
      <c r="G770" s="11">
        <f>IF(VALUE(G274)&gt;=1,5,1)</f>
        <v>5</v>
      </c>
      <c r="H770" s="89"/>
    </row>
    <row r="771" spans="1:9" x14ac:dyDescent="0.25">
      <c r="A771" s="3"/>
      <c r="B771" s="138" t="s">
        <v>213</v>
      </c>
      <c r="C771" s="139"/>
      <c r="D771" s="117">
        <f>D769+1</f>
        <v>669</v>
      </c>
      <c r="E771" s="118">
        <f>G771</f>
        <v>5</v>
      </c>
      <c r="F771" s="19"/>
      <c r="G771" s="11">
        <f>G770</f>
        <v>5</v>
      </c>
      <c r="H771" s="89"/>
      <c r="I771" s="374"/>
    </row>
    <row r="772" spans="1:9" x14ac:dyDescent="0.25">
      <c r="A772" s="3"/>
      <c r="B772" s="4" t="s">
        <v>214</v>
      </c>
      <c r="C772" s="17"/>
      <c r="D772" s="87" t="s">
        <v>1152</v>
      </c>
      <c r="E772" s="18">
        <f t="shared" si="84"/>
        <v>1</v>
      </c>
      <c r="F772" s="19"/>
      <c r="G772" s="11">
        <f>IF(VALUE(G279)&gt;=1,5,1)</f>
        <v>1</v>
      </c>
      <c r="H772" s="89"/>
    </row>
    <row r="773" spans="1:9" x14ac:dyDescent="0.25">
      <c r="A773" s="3"/>
      <c r="B773" s="138" t="s">
        <v>214</v>
      </c>
      <c r="C773" s="139"/>
      <c r="D773" s="117">
        <f>D771+1</f>
        <v>670</v>
      </c>
      <c r="E773" s="118">
        <f>G773</f>
        <v>1</v>
      </c>
      <c r="F773" s="19"/>
      <c r="G773" s="11">
        <f>G772</f>
        <v>1</v>
      </c>
      <c r="H773" s="89"/>
      <c r="I773" s="374"/>
    </row>
    <row r="774" spans="1:9" x14ac:dyDescent="0.25">
      <c r="A774" s="3"/>
      <c r="B774" s="4" t="s">
        <v>215</v>
      </c>
      <c r="C774" s="17"/>
      <c r="D774" s="87" t="s">
        <v>1152</v>
      </c>
      <c r="E774" s="18">
        <f t="shared" si="84"/>
        <v>1</v>
      </c>
      <c r="F774" s="19"/>
      <c r="G774" s="11">
        <f>IF(VALUE(G280)&gt;=1,5,1)</f>
        <v>1</v>
      </c>
      <c r="H774" s="89"/>
    </row>
    <row r="775" spans="1:9" x14ac:dyDescent="0.25">
      <c r="A775" s="3"/>
      <c r="B775" s="138" t="s">
        <v>215</v>
      </c>
      <c r="C775" s="139"/>
      <c r="D775" s="117">
        <f>D773+1</f>
        <v>671</v>
      </c>
      <c r="E775" s="118">
        <f>G775</f>
        <v>1</v>
      </c>
      <c r="F775" s="19"/>
      <c r="G775" s="11">
        <f>G774</f>
        <v>1</v>
      </c>
      <c r="H775" s="89"/>
      <c r="I775" s="374"/>
    </row>
    <row r="776" spans="1:9" x14ac:dyDescent="0.25">
      <c r="A776" s="3"/>
      <c r="B776" s="4" t="s">
        <v>994</v>
      </c>
      <c r="C776" s="17"/>
      <c r="D776" s="87" t="s">
        <v>1152</v>
      </c>
      <c r="E776" s="18">
        <f t="shared" si="84"/>
        <v>1</v>
      </c>
      <c r="F776" s="19"/>
      <c r="G776" s="11">
        <f>IF(VALUE(G284)&gt;=1,5,1)</f>
        <v>1</v>
      </c>
      <c r="H776" s="89"/>
    </row>
    <row r="777" spans="1:9" x14ac:dyDescent="0.25">
      <c r="A777" s="3"/>
      <c r="B777" s="138" t="s">
        <v>994</v>
      </c>
      <c r="C777" s="139"/>
      <c r="D777" s="117">
        <f>D775+1</f>
        <v>672</v>
      </c>
      <c r="E777" s="118">
        <f>G777</f>
        <v>1</v>
      </c>
      <c r="F777" s="19"/>
      <c r="G777" s="11">
        <f>G776</f>
        <v>1</v>
      </c>
      <c r="H777" s="89"/>
      <c r="I777" s="374"/>
    </row>
    <row r="778" spans="1:9" x14ac:dyDescent="0.25">
      <c r="A778" s="3"/>
      <c r="B778" s="4" t="s">
        <v>216</v>
      </c>
      <c r="C778" s="17"/>
      <c r="D778" s="87" t="s">
        <v>1152</v>
      </c>
      <c r="E778" s="18">
        <f t="shared" si="84"/>
        <v>5</v>
      </c>
      <c r="F778" s="19"/>
      <c r="G778" s="11">
        <f>IF(VALUE(G287)&gt;=1,5,1)</f>
        <v>5</v>
      </c>
      <c r="H778" s="89"/>
    </row>
    <row r="779" spans="1:9" x14ac:dyDescent="0.25">
      <c r="A779" s="3"/>
      <c r="B779" s="138" t="s">
        <v>216</v>
      </c>
      <c r="C779" s="139"/>
      <c r="D779" s="117">
        <f>D777+1</f>
        <v>673</v>
      </c>
      <c r="E779" s="118">
        <f>G779</f>
        <v>5</v>
      </c>
      <c r="F779" s="19"/>
      <c r="G779" s="11">
        <f>G778</f>
        <v>5</v>
      </c>
      <c r="H779" s="89"/>
      <c r="I779" s="374"/>
    </row>
    <row r="780" spans="1:9" x14ac:dyDescent="0.25">
      <c r="A780" s="3"/>
      <c r="B780" s="4" t="s">
        <v>217</v>
      </c>
      <c r="C780" s="17"/>
      <c r="D780" s="87" t="s">
        <v>1152</v>
      </c>
      <c r="E780" s="18">
        <f t="shared" si="84"/>
        <v>5</v>
      </c>
      <c r="F780" s="19"/>
      <c r="G780" s="11">
        <f>IF(VALUE(G288)&gt;2,5,IF(AND(VALUE(G288)&gt;0,VALUE(G288)&lt;=2),3,IF(VALUE(G288)=0,0,"CEK KEMBALI INPUTAN")))</f>
        <v>5</v>
      </c>
      <c r="H780" s="89"/>
    </row>
    <row r="781" spans="1:9" x14ac:dyDescent="0.25">
      <c r="A781" s="3"/>
      <c r="B781" s="138" t="s">
        <v>217</v>
      </c>
      <c r="C781" s="139"/>
      <c r="D781" s="117">
        <f>D779+1</f>
        <v>674</v>
      </c>
      <c r="E781" s="118">
        <f>G781</f>
        <v>5</v>
      </c>
      <c r="F781" s="19"/>
      <c r="G781" s="11">
        <f>G780</f>
        <v>5</v>
      </c>
      <c r="H781" s="89"/>
      <c r="I781" s="374"/>
    </row>
    <row r="782" spans="1:9" x14ac:dyDescent="0.25">
      <c r="A782" s="3"/>
      <c r="B782" s="4" t="s">
        <v>218</v>
      </c>
      <c r="C782" s="17"/>
      <c r="D782" s="87" t="s">
        <v>1152</v>
      </c>
      <c r="E782" s="18">
        <f t="shared" si="84"/>
        <v>1</v>
      </c>
      <c r="F782" s="19"/>
      <c r="G782" s="11">
        <f>IF(VALUE(G289)&gt;0,5,1)</f>
        <v>1</v>
      </c>
      <c r="H782" s="89"/>
    </row>
    <row r="783" spans="1:9" x14ac:dyDescent="0.25">
      <c r="A783" s="3"/>
      <c r="B783" s="138" t="s">
        <v>218</v>
      </c>
      <c r="C783" s="139"/>
      <c r="D783" s="117">
        <f>D781+1</f>
        <v>675</v>
      </c>
      <c r="E783" s="118">
        <f>G783</f>
        <v>1</v>
      </c>
      <c r="F783" s="19"/>
      <c r="G783" s="11">
        <f>G782</f>
        <v>1</v>
      </c>
      <c r="H783" s="89"/>
      <c r="I783" s="374"/>
    </row>
    <row r="784" spans="1:9" x14ac:dyDescent="0.25">
      <c r="A784" s="3"/>
      <c r="B784" s="4" t="s">
        <v>219</v>
      </c>
      <c r="C784" s="17"/>
      <c r="D784" s="87" t="s">
        <v>1152</v>
      </c>
      <c r="E784" s="18">
        <f t="shared" si="84"/>
        <v>5</v>
      </c>
      <c r="F784" s="19"/>
      <c r="G784" s="11">
        <f>IF(VALUE(G327)&gt;7,5,IF(AND(VALUE(G327)&gt;5,VALUE(G327)&lt;=7),4,IF(AND(VALUE(G327)&gt;3,VALUE(G327)&lt;=5),3,IF(AND(VALUE(G327)&gt;1,VALUE(G327)&lt;=3),2,IF(VALUE(G327)=1,1,IF(VALUE(G327)=0,0,"CEK KEMBALI INPUTAN"))))))</f>
        <v>5</v>
      </c>
      <c r="H784" s="89"/>
    </row>
    <row r="785" spans="1:9" x14ac:dyDescent="0.25">
      <c r="A785" s="3"/>
      <c r="B785" s="138" t="s">
        <v>219</v>
      </c>
      <c r="C785" s="139"/>
      <c r="D785" s="117">
        <f>D783+1</f>
        <v>676</v>
      </c>
      <c r="E785" s="118">
        <f>G785</f>
        <v>5</v>
      </c>
      <c r="F785" s="19"/>
      <c r="G785" s="11">
        <f>G784</f>
        <v>5</v>
      </c>
      <c r="H785" s="89"/>
      <c r="I785" s="374"/>
    </row>
    <row r="786" spans="1:9" x14ac:dyDescent="0.25">
      <c r="A786" s="3"/>
      <c r="B786" s="4" t="s">
        <v>220</v>
      </c>
      <c r="C786" s="17"/>
      <c r="D786" s="87" t="s">
        <v>1152</v>
      </c>
      <c r="E786" s="18">
        <f t="shared" si="84"/>
        <v>1</v>
      </c>
      <c r="F786" s="19"/>
      <c r="G786" s="11">
        <f>IF(VALUE(G317)&gt;7,5,IF(AND(VALUE(G317)&gt;5,VALUE(G317)&lt;=7),4,IF(AND(VALUE(G317)&gt;3,VALUE(G317)&lt;=5),3,IF(AND(VALUE(G317)&gt;1,VALUE(G317)&lt;=3),2,IF(VALUE(G317)=1,1,IF(VALUE(G317)=0,0,0))))))</f>
        <v>1</v>
      </c>
      <c r="H786" s="89"/>
    </row>
    <row r="787" spans="1:9" x14ac:dyDescent="0.25">
      <c r="A787" s="3"/>
      <c r="B787" s="138" t="s">
        <v>220</v>
      </c>
      <c r="C787" s="139"/>
      <c r="D787" s="117">
        <f>D785+1</f>
        <v>677</v>
      </c>
      <c r="E787" s="118">
        <f>G787</f>
        <v>1</v>
      </c>
      <c r="F787" s="19"/>
      <c r="G787" s="11">
        <f>G786</f>
        <v>1</v>
      </c>
      <c r="H787" s="89"/>
      <c r="I787" s="374"/>
    </row>
    <row r="788" spans="1:9" x14ac:dyDescent="0.25">
      <c r="A788" s="3"/>
      <c r="B788" s="14" t="s">
        <v>670</v>
      </c>
      <c r="C788" s="17"/>
      <c r="D788" s="87" t="s">
        <v>1123</v>
      </c>
      <c r="E788" s="18">
        <f t="shared" si="84"/>
        <v>1</v>
      </c>
      <c r="F788" s="19"/>
      <c r="G788" s="11">
        <f t="shared" ref="G788:G794" si="85">VALUE(G330)</f>
        <v>1</v>
      </c>
      <c r="H788" s="89"/>
    </row>
    <row r="789" spans="1:9" x14ac:dyDescent="0.25">
      <c r="A789" s="3"/>
      <c r="B789" s="14" t="s">
        <v>671</v>
      </c>
      <c r="C789" s="17"/>
      <c r="D789" s="87" t="s">
        <v>1123</v>
      </c>
      <c r="E789" s="18">
        <f t="shared" si="84"/>
        <v>1</v>
      </c>
      <c r="F789" s="19"/>
      <c r="G789" s="11">
        <f t="shared" si="85"/>
        <v>1</v>
      </c>
      <c r="H789" s="89"/>
    </row>
    <row r="790" spans="1:9" x14ac:dyDescent="0.25">
      <c r="A790" s="3"/>
      <c r="B790" s="14" t="s">
        <v>672</v>
      </c>
      <c r="C790" s="17"/>
      <c r="D790" s="87" t="s">
        <v>1123</v>
      </c>
      <c r="E790" s="18">
        <f t="shared" si="84"/>
        <v>0</v>
      </c>
      <c r="F790" s="19"/>
      <c r="G790" s="11">
        <f t="shared" si="85"/>
        <v>0</v>
      </c>
      <c r="H790" s="89"/>
    </row>
    <row r="791" spans="1:9" x14ac:dyDescent="0.25">
      <c r="A791" s="3"/>
      <c r="B791" s="14" t="s">
        <v>673</v>
      </c>
      <c r="C791" s="17"/>
      <c r="D791" s="87" t="s">
        <v>1123</v>
      </c>
      <c r="E791" s="18">
        <f t="shared" si="84"/>
        <v>0</v>
      </c>
      <c r="F791" s="19"/>
      <c r="G791" s="11">
        <f t="shared" si="85"/>
        <v>0</v>
      </c>
      <c r="H791" s="89"/>
    </row>
    <row r="792" spans="1:9" x14ac:dyDescent="0.25">
      <c r="A792" s="3"/>
      <c r="B792" s="14" t="s">
        <v>674</v>
      </c>
      <c r="C792" s="17"/>
      <c r="D792" s="87" t="s">
        <v>1123</v>
      </c>
      <c r="E792" s="18">
        <f t="shared" si="84"/>
        <v>1</v>
      </c>
      <c r="F792" s="19"/>
      <c r="G792" s="11">
        <f t="shared" si="85"/>
        <v>1</v>
      </c>
      <c r="H792" s="89"/>
    </row>
    <row r="793" spans="1:9" x14ac:dyDescent="0.25">
      <c r="A793" s="3"/>
      <c r="B793" s="14" t="s">
        <v>675</v>
      </c>
      <c r="C793" s="17"/>
      <c r="D793" s="87" t="s">
        <v>1123</v>
      </c>
      <c r="E793" s="18">
        <f t="shared" si="84"/>
        <v>0</v>
      </c>
      <c r="F793" s="19"/>
      <c r="G793" s="11">
        <f t="shared" si="85"/>
        <v>0</v>
      </c>
      <c r="H793" s="89"/>
    </row>
    <row r="794" spans="1:9" x14ac:dyDescent="0.25">
      <c r="A794" s="3"/>
      <c r="B794" s="14" t="s">
        <v>693</v>
      </c>
      <c r="C794" s="17"/>
      <c r="D794" s="87" t="s">
        <v>1123</v>
      </c>
      <c r="E794" s="18">
        <f t="shared" si="84"/>
        <v>0</v>
      </c>
      <c r="F794" s="19"/>
      <c r="G794" s="11">
        <f t="shared" si="85"/>
        <v>0</v>
      </c>
      <c r="H794" s="89"/>
    </row>
    <row r="795" spans="1:9" x14ac:dyDescent="0.25">
      <c r="A795" s="3"/>
      <c r="B795" s="15" t="s">
        <v>694</v>
      </c>
      <c r="C795" s="17"/>
      <c r="D795" s="87" t="s">
        <v>1123</v>
      </c>
      <c r="E795" s="18">
        <f t="shared" si="84"/>
        <v>3</v>
      </c>
      <c r="F795" s="19"/>
      <c r="G795" s="11">
        <f>SUM(G788:G794)</f>
        <v>3</v>
      </c>
      <c r="H795" s="89"/>
    </row>
    <row r="796" spans="1:9" x14ac:dyDescent="0.25">
      <c r="A796" s="3"/>
      <c r="B796" s="4" t="s">
        <v>221</v>
      </c>
      <c r="C796" s="17"/>
      <c r="D796" s="87" t="s">
        <v>1152</v>
      </c>
      <c r="E796" s="18">
        <f t="shared" si="84"/>
        <v>5</v>
      </c>
      <c r="F796" s="19"/>
      <c r="G796" s="11">
        <f>IF(VALUE(G795)&gt;1,5,1)</f>
        <v>5</v>
      </c>
      <c r="H796" s="89"/>
    </row>
    <row r="797" spans="1:9" x14ac:dyDescent="0.25">
      <c r="A797" s="3"/>
      <c r="B797" s="138" t="s">
        <v>221</v>
      </c>
      <c r="C797" s="139"/>
      <c r="D797" s="117">
        <f>D787+1</f>
        <v>678</v>
      </c>
      <c r="E797" s="118">
        <f>G797</f>
        <v>5</v>
      </c>
      <c r="F797" s="19"/>
      <c r="G797" s="11">
        <f>G796</f>
        <v>5</v>
      </c>
      <c r="H797" s="89"/>
      <c r="I797" s="374"/>
    </row>
    <row r="798" spans="1:9" x14ac:dyDescent="0.25">
      <c r="A798" s="3"/>
      <c r="B798" s="4" t="s">
        <v>222</v>
      </c>
      <c r="C798" s="17"/>
      <c r="D798" s="87" t="s">
        <v>1152</v>
      </c>
      <c r="E798" s="18">
        <f t="shared" si="84"/>
        <v>5</v>
      </c>
      <c r="F798" s="19"/>
      <c r="G798" s="11">
        <f>IF(VALUE(G329)&gt;1,5,1)</f>
        <v>5</v>
      </c>
      <c r="H798" s="89"/>
    </row>
    <row r="799" spans="1:9" x14ac:dyDescent="0.25">
      <c r="A799" s="3"/>
      <c r="B799" s="138" t="s">
        <v>222</v>
      </c>
      <c r="C799" s="139"/>
      <c r="D799" s="117">
        <f>D797+1</f>
        <v>679</v>
      </c>
      <c r="E799" s="118">
        <f>G799</f>
        <v>5</v>
      </c>
      <c r="F799" s="19"/>
      <c r="G799" s="11">
        <f>G798</f>
        <v>5</v>
      </c>
      <c r="H799" s="89"/>
      <c r="I799" s="374"/>
    </row>
    <row r="800" spans="1:9" x14ac:dyDescent="0.25">
      <c r="A800" s="3"/>
      <c r="B800" s="4" t="s">
        <v>223</v>
      </c>
      <c r="C800" s="17"/>
      <c r="D800" s="87" t="s">
        <v>1152</v>
      </c>
      <c r="E800" s="18">
        <f t="shared" si="84"/>
        <v>5</v>
      </c>
      <c r="F800" s="19"/>
      <c r="G800" s="11">
        <f>IF(VALUE(G328)&gt;1,5,1)</f>
        <v>5</v>
      </c>
      <c r="H800" s="89"/>
    </row>
    <row r="801" spans="1:9" x14ac:dyDescent="0.25">
      <c r="A801" s="3"/>
      <c r="B801" s="138" t="s">
        <v>223</v>
      </c>
      <c r="C801" s="139"/>
      <c r="D801" s="117">
        <f>D799+1</f>
        <v>680</v>
      </c>
      <c r="E801" s="118">
        <f>G801</f>
        <v>5</v>
      </c>
      <c r="F801" s="19"/>
      <c r="G801" s="11">
        <f>G800</f>
        <v>5</v>
      </c>
      <c r="H801" s="89"/>
      <c r="I801" s="374"/>
    </row>
    <row r="802" spans="1:9" x14ac:dyDescent="0.25">
      <c r="A802" s="3"/>
      <c r="B802" s="4" t="s">
        <v>224</v>
      </c>
      <c r="C802" s="17"/>
      <c r="D802" s="87" t="s">
        <v>1152</v>
      </c>
      <c r="E802" s="18">
        <f t="shared" si="84"/>
        <v>5</v>
      </c>
      <c r="F802" s="19"/>
      <c r="G802" s="11">
        <f>IF(VALUE(G354)=1,5,1)</f>
        <v>5</v>
      </c>
      <c r="H802" s="89"/>
    </row>
    <row r="803" spans="1:9" x14ac:dyDescent="0.25">
      <c r="A803" s="3"/>
      <c r="B803" s="138" t="s">
        <v>224</v>
      </c>
      <c r="C803" s="139"/>
      <c r="D803" s="117">
        <f>D801+1</f>
        <v>681</v>
      </c>
      <c r="E803" s="118">
        <f>G803</f>
        <v>5</v>
      </c>
      <c r="F803" s="19"/>
      <c r="G803" s="11">
        <f>G802</f>
        <v>5</v>
      </c>
      <c r="H803" s="89"/>
      <c r="I803" s="374"/>
    </row>
    <row r="804" spans="1:9" x14ac:dyDescent="0.25">
      <c r="A804" s="3"/>
      <c r="B804" s="4" t="s">
        <v>225</v>
      </c>
      <c r="C804" s="17"/>
      <c r="D804" s="87" t="s">
        <v>1152</v>
      </c>
      <c r="E804" s="18">
        <f t="shared" si="84"/>
        <v>5</v>
      </c>
      <c r="F804" s="19"/>
      <c r="G804" s="11">
        <f>IF(VALUE(G355)=1,5,1)</f>
        <v>5</v>
      </c>
    </row>
    <row r="805" spans="1:9" x14ac:dyDescent="0.25">
      <c r="A805" s="3"/>
      <c r="B805" s="138" t="s">
        <v>225</v>
      </c>
      <c r="C805" s="139"/>
      <c r="D805" s="117">
        <f>D803+1</f>
        <v>682</v>
      </c>
      <c r="E805" s="118">
        <f>G805</f>
        <v>5</v>
      </c>
      <c r="F805" s="19"/>
      <c r="G805" s="11">
        <f>G804</f>
        <v>5</v>
      </c>
      <c r="I805" s="374"/>
    </row>
    <row r="806" spans="1:9" x14ac:dyDescent="0.25">
      <c r="A806" s="3"/>
      <c r="B806" s="4" t="s">
        <v>226</v>
      </c>
      <c r="C806" s="17"/>
      <c r="D806" s="87" t="s">
        <v>1152</v>
      </c>
      <c r="E806" s="18">
        <f t="shared" si="84"/>
        <v>5</v>
      </c>
      <c r="F806" s="19"/>
      <c r="G806" s="11">
        <f>IF(VALUE(G356)=0,5,1)</f>
        <v>5</v>
      </c>
    </row>
    <row r="807" spans="1:9" x14ac:dyDescent="0.25">
      <c r="A807" s="3"/>
      <c r="B807" s="138" t="s">
        <v>226</v>
      </c>
      <c r="C807" s="139"/>
      <c r="D807" s="117">
        <f>D805+1</f>
        <v>683</v>
      </c>
      <c r="E807" s="118">
        <f>G807</f>
        <v>5</v>
      </c>
      <c r="F807" s="19"/>
      <c r="G807" s="11">
        <f>G806</f>
        <v>5</v>
      </c>
      <c r="I807" s="374"/>
    </row>
    <row r="808" spans="1:9" x14ac:dyDescent="0.25">
      <c r="A808" s="3"/>
      <c r="B808" s="15" t="s">
        <v>227</v>
      </c>
      <c r="C808" s="17"/>
      <c r="D808" s="87" t="s">
        <v>1123</v>
      </c>
      <c r="E808" s="18">
        <f t="shared" si="84"/>
        <v>0</v>
      </c>
      <c r="F808" s="19"/>
      <c r="G808" s="11">
        <f>VALUE(G396)+VALUE(G397)+VALUE(G398)+VALUE(G399)+VALUE(G400)+VALUE(G401)+VALUE(G402)+VALUE(G403)+VALUE(G404)</f>
        <v>0</v>
      </c>
    </row>
    <row r="809" spans="1:9" x14ac:dyDescent="0.25">
      <c r="A809" s="3"/>
      <c r="B809" s="4" t="s">
        <v>228</v>
      </c>
      <c r="C809" s="17"/>
      <c r="D809" s="87" t="s">
        <v>1152</v>
      </c>
      <c r="E809" s="18">
        <f t="shared" si="84"/>
        <v>5</v>
      </c>
      <c r="F809" s="19"/>
      <c r="G809" s="11">
        <f>IF(G808=0,5,IF(G808=1,4,IF(G808=2,3,IF(G808&gt;2,2,"CEK KEMBALI INPUTAN"))))</f>
        <v>5</v>
      </c>
    </row>
    <row r="810" spans="1:9" x14ac:dyDescent="0.25">
      <c r="A810" s="3"/>
      <c r="B810" s="138" t="s">
        <v>228</v>
      </c>
      <c r="C810" s="139"/>
      <c r="D810" s="117">
        <f>D807+1</f>
        <v>684</v>
      </c>
      <c r="E810" s="118">
        <f>G810</f>
        <v>5</v>
      </c>
      <c r="F810" s="19"/>
      <c r="G810" s="11">
        <f>G809</f>
        <v>5</v>
      </c>
      <c r="I810" s="374"/>
    </row>
    <row r="811" spans="1:9" x14ac:dyDescent="0.25">
      <c r="A811" s="3"/>
      <c r="B811" s="15" t="s">
        <v>667</v>
      </c>
      <c r="C811" s="17"/>
      <c r="D811" s="87" t="s">
        <v>1123</v>
      </c>
      <c r="E811" s="18">
        <f t="shared" si="84"/>
        <v>0</v>
      </c>
      <c r="F811" s="19"/>
      <c r="G811" s="11">
        <f>VALUE(G387)</f>
        <v>0</v>
      </c>
    </row>
    <row r="812" spans="1:9" x14ac:dyDescent="0.25">
      <c r="A812" s="3"/>
      <c r="B812" s="4" t="s">
        <v>229</v>
      </c>
      <c r="C812" s="17"/>
      <c r="D812" s="87" t="s">
        <v>1152</v>
      </c>
      <c r="E812" s="18">
        <f t="shared" si="84"/>
        <v>5</v>
      </c>
      <c r="F812" s="19"/>
      <c r="G812" s="11">
        <f>IF(VALUE(G387)=0,5,IF(AND(VALUE(G387)&gt;=1,VALUE(G387)&lt;4),4,IF(AND(VALUE(G387)&gt;=4,VALUE(G387)&lt;6),3,IF(VALUE(G387)=6,2,IF(VALUE(G387)&gt;6,1,1)))))</f>
        <v>5</v>
      </c>
    </row>
    <row r="813" spans="1:9" x14ac:dyDescent="0.25">
      <c r="A813" s="3"/>
      <c r="B813" s="138" t="s">
        <v>229</v>
      </c>
      <c r="C813" s="139"/>
      <c r="D813" s="117">
        <f>D810+1</f>
        <v>685</v>
      </c>
      <c r="E813" s="118">
        <f>G813</f>
        <v>5</v>
      </c>
      <c r="F813" s="19"/>
      <c r="G813" s="11">
        <f>G812</f>
        <v>5</v>
      </c>
      <c r="I813" s="374"/>
    </row>
    <row r="814" spans="1:9" x14ac:dyDescent="0.25">
      <c r="A814" s="3"/>
      <c r="B814" s="15" t="s">
        <v>692</v>
      </c>
      <c r="C814" s="17"/>
      <c r="D814" s="87" t="s">
        <v>1123</v>
      </c>
      <c r="E814" s="18">
        <f t="shared" si="84"/>
        <v>1</v>
      </c>
      <c r="F814" s="19"/>
      <c r="G814" s="11">
        <f>IF((VALUE(G446)+VALUE(G447)+VALUE(G448))=0,0,((VALUE(G446)+VALUE(G447))/(VALUE(G446)+VALUE(G447)+VALUE(G448))))</f>
        <v>1</v>
      </c>
    </row>
    <row r="815" spans="1:9" x14ac:dyDescent="0.25">
      <c r="A815" s="3"/>
      <c r="B815" s="4" t="s">
        <v>230</v>
      </c>
      <c r="C815" s="17"/>
      <c r="D815" s="87" t="s">
        <v>1152</v>
      </c>
      <c r="E815" s="18">
        <f t="shared" si="84"/>
        <v>5</v>
      </c>
      <c r="F815" s="19"/>
      <c r="G815" s="11">
        <f>IF(AND(G814&gt;=0.9,G814&lt;=1),5,IF(AND(G814&gt;=0.8,G814&lt;0.9),4,IF(AND(G814&gt;=0.6,G814&lt;0.8),3,IF(AND(G814&gt;=0.5,G814&lt;0.6),2,IF(G814&lt;0.5,1,"CEK KEMBALI INPUTAN")))))</f>
        <v>5</v>
      </c>
    </row>
    <row r="816" spans="1:9" x14ac:dyDescent="0.25">
      <c r="A816" s="3"/>
      <c r="B816" s="138" t="s">
        <v>230</v>
      </c>
      <c r="C816" s="139"/>
      <c r="D816" s="117">
        <f>D813+1</f>
        <v>686</v>
      </c>
      <c r="E816" s="118">
        <f>G816</f>
        <v>5</v>
      </c>
      <c r="F816" s="19"/>
      <c r="G816" s="11">
        <f>G815</f>
        <v>5</v>
      </c>
      <c r="I816" s="374"/>
    </row>
    <row r="817" spans="1:9" x14ac:dyDescent="0.25">
      <c r="A817" s="3"/>
      <c r="B817" s="4" t="s">
        <v>231</v>
      </c>
      <c r="C817" s="17"/>
      <c r="D817" s="87" t="s">
        <v>1152</v>
      </c>
      <c r="E817" s="18">
        <f t="shared" si="84"/>
        <v>3</v>
      </c>
      <c r="F817" s="19"/>
      <c r="G817" s="11">
        <f>IF(VALUE(G463)=1,5,IF(VALUE(G463)=2,3,IF(VALUE(G463)=0,0,0)))</f>
        <v>3</v>
      </c>
      <c r="H817"/>
    </row>
    <row r="818" spans="1:9" x14ac:dyDescent="0.25">
      <c r="A818" s="3"/>
      <c r="B818" s="138" t="s">
        <v>231</v>
      </c>
      <c r="C818" s="139"/>
      <c r="D818" s="117">
        <f>D816+1</f>
        <v>687</v>
      </c>
      <c r="E818" s="118">
        <f>G818</f>
        <v>3</v>
      </c>
      <c r="F818" s="19"/>
      <c r="G818" s="11">
        <f>G817</f>
        <v>3</v>
      </c>
      <c r="H818"/>
      <c r="I818" s="374"/>
    </row>
    <row r="819" spans="1:9" x14ac:dyDescent="0.25">
      <c r="A819" s="3"/>
      <c r="B819" s="4" t="s">
        <v>1012</v>
      </c>
      <c r="C819" s="17"/>
      <c r="D819" s="87" t="s">
        <v>1152</v>
      </c>
      <c r="E819" s="18">
        <f t="shared" si="84"/>
        <v>5</v>
      </c>
      <c r="F819" s="19"/>
      <c r="G819" s="11">
        <f>IF(VALUE(G472)=1,5,1)</f>
        <v>5</v>
      </c>
      <c r="H819"/>
    </row>
    <row r="820" spans="1:9" x14ac:dyDescent="0.25">
      <c r="A820" s="3"/>
      <c r="B820" s="138" t="s">
        <v>1012</v>
      </c>
      <c r="C820" s="139"/>
      <c r="D820" s="117">
        <f>D818+1</f>
        <v>688</v>
      </c>
      <c r="E820" s="118">
        <f>G820</f>
        <v>5</v>
      </c>
      <c r="F820" s="19"/>
      <c r="G820" s="11">
        <f>G819</f>
        <v>5</v>
      </c>
      <c r="H820"/>
      <c r="I820" s="374"/>
    </row>
    <row r="821" spans="1:9" x14ac:dyDescent="0.25">
      <c r="A821" s="3"/>
      <c r="B821" s="4" t="s">
        <v>232</v>
      </c>
      <c r="C821" s="17"/>
      <c r="D821" s="87" t="s">
        <v>1152</v>
      </c>
      <c r="E821" s="18">
        <f t="shared" si="84"/>
        <v>5</v>
      </c>
      <c r="F821" s="19"/>
      <c r="G821" s="11">
        <f>IF(VALUE(G473)=1,5,1)</f>
        <v>5</v>
      </c>
      <c r="H821"/>
    </row>
    <row r="822" spans="1:9" x14ac:dyDescent="0.25">
      <c r="A822" s="3"/>
      <c r="B822" s="138" t="s">
        <v>232</v>
      </c>
      <c r="C822" s="139"/>
      <c r="D822" s="117">
        <f>D820+1</f>
        <v>689</v>
      </c>
      <c r="E822" s="118">
        <f>G822</f>
        <v>5</v>
      </c>
      <c r="F822" s="19"/>
      <c r="G822" s="11">
        <f>G821</f>
        <v>5</v>
      </c>
      <c r="H822"/>
      <c r="I822" s="374"/>
    </row>
    <row r="823" spans="1:9" x14ac:dyDescent="0.25">
      <c r="A823" s="3"/>
      <c r="B823" s="4" t="s">
        <v>233</v>
      </c>
      <c r="C823" s="17"/>
      <c r="D823" s="87" t="s">
        <v>1152</v>
      </c>
      <c r="E823" s="18">
        <f t="shared" si="84"/>
        <v>5</v>
      </c>
      <c r="F823" s="19"/>
      <c r="G823" s="11">
        <f>IF(VALUE(G437)=1,5,IF(VALUE(G437)=2,4,IF(VALUE(G437)=3,3,IF(VALUE(G437)=4,0,0))))</f>
        <v>5</v>
      </c>
      <c r="H823"/>
    </row>
    <row r="824" spans="1:9" x14ac:dyDescent="0.25">
      <c r="A824" s="3"/>
      <c r="B824" s="138" t="s">
        <v>233</v>
      </c>
      <c r="C824" s="139"/>
      <c r="D824" s="117">
        <f>D822+1</f>
        <v>690</v>
      </c>
      <c r="E824" s="118">
        <f>G824</f>
        <v>5</v>
      </c>
      <c r="F824" s="19"/>
      <c r="G824" s="11">
        <f>G823</f>
        <v>5</v>
      </c>
      <c r="H824"/>
      <c r="I824" s="374"/>
    </row>
    <row r="825" spans="1:9" x14ac:dyDescent="0.25">
      <c r="A825" s="3"/>
      <c r="B825" s="4" t="s">
        <v>234</v>
      </c>
      <c r="C825" s="17"/>
      <c r="D825" s="87" t="s">
        <v>1152</v>
      </c>
      <c r="E825" s="18">
        <f t="shared" si="84"/>
        <v>4</v>
      </c>
      <c r="F825" s="19"/>
      <c r="G825" s="11">
        <f>IF(VALUE(G442)=1,5,IF(VALUE(G442)=2,4,IF(VALUE(G442)=3,1,0)))</f>
        <v>4</v>
      </c>
      <c r="H825"/>
    </row>
    <row r="826" spans="1:9" x14ac:dyDescent="0.25">
      <c r="A826" s="3"/>
      <c r="B826" s="138" t="s">
        <v>234</v>
      </c>
      <c r="C826" s="139"/>
      <c r="D826" s="117">
        <f>D824+1</f>
        <v>691</v>
      </c>
      <c r="E826" s="118">
        <f>G826</f>
        <v>4</v>
      </c>
      <c r="F826" s="19"/>
      <c r="G826" s="11">
        <f>G825</f>
        <v>4</v>
      </c>
      <c r="H826"/>
      <c r="I826" s="374"/>
    </row>
    <row r="827" spans="1:9" x14ac:dyDescent="0.25">
      <c r="A827" s="3"/>
      <c r="B827" s="4" t="s">
        <v>235</v>
      </c>
      <c r="C827" s="17"/>
      <c r="D827" s="87" t="s">
        <v>1152</v>
      </c>
      <c r="E827" s="18">
        <f t="shared" si="84"/>
        <v>4</v>
      </c>
      <c r="F827" s="20"/>
      <c r="G827" s="24">
        <f>IF(OR(VALUE(G417)=1,VALUE(G418)=1),5,IF(OR(VALUE(G419)=1,VALUE(G420)=1),4,IF(OR(VALUE(G416)=1,VALUE(G421)=1),3,IF(OR(VALUE(G422)=1,VALUE(G423)=1),2,1))))</f>
        <v>4</v>
      </c>
      <c r="H827"/>
    </row>
    <row r="828" spans="1:9" x14ac:dyDescent="0.25">
      <c r="A828" s="3"/>
      <c r="B828" s="138" t="s">
        <v>235</v>
      </c>
      <c r="C828" s="139"/>
      <c r="D828" s="117">
        <f>D826+1</f>
        <v>692</v>
      </c>
      <c r="E828" s="118">
        <f>G828</f>
        <v>4</v>
      </c>
      <c r="F828" s="19"/>
      <c r="G828" s="11">
        <f>G827</f>
        <v>4</v>
      </c>
      <c r="H828"/>
      <c r="I828" s="374"/>
    </row>
    <row r="829" spans="1:9" x14ac:dyDescent="0.25">
      <c r="A829" s="3"/>
      <c r="B829" s="4" t="s">
        <v>236</v>
      </c>
      <c r="C829" s="17"/>
      <c r="D829" s="87" t="s">
        <v>1152</v>
      </c>
      <c r="E829" s="18">
        <f t="shared" si="84"/>
        <v>4</v>
      </c>
      <c r="F829" s="20"/>
      <c r="G829" s="24">
        <f>IF(OR(VALUE(G427)=1,VALUE(G428)=1),5,IF(OR(VALUE(G429)=1,VALUE(G430)=1),4,IF(OR(VALUE(G431)=1),3,IF(OR(VALUE(G432)=1,VALUE(G433)=1),2,1))))</f>
        <v>4</v>
      </c>
      <c r="H829"/>
    </row>
    <row r="830" spans="1:9" x14ac:dyDescent="0.25">
      <c r="A830" s="3"/>
      <c r="B830" s="138" t="s">
        <v>236</v>
      </c>
      <c r="C830" s="140"/>
      <c r="D830" s="117">
        <f>D828+1</f>
        <v>693</v>
      </c>
      <c r="E830" s="118">
        <f>G830</f>
        <v>4</v>
      </c>
      <c r="F830" s="19"/>
      <c r="G830" s="11">
        <f>G829</f>
        <v>4</v>
      </c>
      <c r="H830"/>
      <c r="I830" s="374"/>
    </row>
    <row r="831" spans="1:9" x14ac:dyDescent="0.25">
      <c r="A831" s="3"/>
      <c r="B831" s="100" t="s">
        <v>1019</v>
      </c>
      <c r="C831" s="111"/>
      <c r="D831" s="87" t="s">
        <v>1152</v>
      </c>
      <c r="E831" s="18">
        <f t="shared" si="84"/>
        <v>133</v>
      </c>
      <c r="F831" s="21"/>
      <c r="G831" s="11">
        <f>G748+G750+G752+G754+G757+G759+G762+G764+G766+G768+G770+G772+G774+G776+G778+G780+G782+G784+G786+G796+G798+G800+G802+G804+G806+G809+G812+G815+G817+G819+G821+G823+G825+G827+G829</f>
        <v>133</v>
      </c>
      <c r="H831"/>
    </row>
    <row r="832" spans="1:9" x14ac:dyDescent="0.25">
      <c r="A832" s="3"/>
      <c r="B832" s="100" t="s">
        <v>1020</v>
      </c>
      <c r="C832" s="111"/>
      <c r="D832" s="87" t="s">
        <v>1152</v>
      </c>
      <c r="E832" s="18">
        <f t="shared" si="84"/>
        <v>0.76</v>
      </c>
      <c r="F832" s="21"/>
      <c r="G832" s="23">
        <f>G831/175</f>
        <v>0.76</v>
      </c>
      <c r="H832"/>
    </row>
    <row r="833" spans="1:9" x14ac:dyDescent="0.25">
      <c r="A833" s="3"/>
      <c r="B833" s="141" t="s">
        <v>1020</v>
      </c>
      <c r="C833" s="142"/>
      <c r="D833" s="117">
        <f>D830+1</f>
        <v>694</v>
      </c>
      <c r="E833" s="143">
        <f>G833</f>
        <v>0.76</v>
      </c>
      <c r="F833" s="21"/>
      <c r="G833" s="23">
        <f>G832</f>
        <v>0.76</v>
      </c>
      <c r="H833"/>
      <c r="I833" s="374"/>
    </row>
    <row r="834" spans="1:9" x14ac:dyDescent="0.25">
      <c r="A834" s="3"/>
      <c r="B834" s="15" t="s">
        <v>686</v>
      </c>
      <c r="C834" s="17"/>
      <c r="D834" s="87" t="s">
        <v>1123</v>
      </c>
      <c r="E834" s="18">
        <f t="shared" si="84"/>
        <v>0.17087512971290211</v>
      </c>
      <c r="F834" s="19"/>
      <c r="G834" s="11">
        <f>IF(VALUE(G494)=0,0,VALUE(494)/VALUE(G85))</f>
        <v>0.17087512971290211</v>
      </c>
      <c r="H834"/>
    </row>
    <row r="835" spans="1:9" x14ac:dyDescent="0.25">
      <c r="A835" s="3"/>
      <c r="B835" s="5" t="s">
        <v>238</v>
      </c>
      <c r="C835" s="17"/>
      <c r="D835" s="87" t="s">
        <v>1152</v>
      </c>
      <c r="E835" s="18">
        <f t="shared" ref="E835:E894" si="86">G835</f>
        <v>5</v>
      </c>
      <c r="F835" s="19"/>
      <c r="G835" s="11">
        <f>IF(G834&gt;0.003,5,IF(AND(G834&gt;0,G834&lt;=0.003),3,IF(G834=0,1,"CEK KEMBALI INPUTAN ")))</f>
        <v>5</v>
      </c>
      <c r="H835"/>
    </row>
    <row r="836" spans="1:9" x14ac:dyDescent="0.25">
      <c r="A836" s="3"/>
      <c r="B836" s="144" t="s">
        <v>238</v>
      </c>
      <c r="C836" s="139"/>
      <c r="D836" s="117">
        <f>D833+1</f>
        <v>695</v>
      </c>
      <c r="E836" s="118">
        <f>G836</f>
        <v>5</v>
      </c>
      <c r="F836" s="19"/>
      <c r="G836" s="11">
        <f>G835</f>
        <v>5</v>
      </c>
      <c r="H836"/>
      <c r="I836" s="374"/>
    </row>
    <row r="837" spans="1:9" x14ac:dyDescent="0.25">
      <c r="A837" s="3"/>
      <c r="B837" s="5" t="s">
        <v>239</v>
      </c>
      <c r="C837" s="17"/>
      <c r="D837" s="87" t="s">
        <v>1152</v>
      </c>
      <c r="E837" s="18">
        <f t="shared" si="86"/>
        <v>2</v>
      </c>
      <c r="F837" s="19"/>
      <c r="G837" s="11">
        <f>IF(AND(VALUE(G506)&gt;0,VALUE(G506)&lt;=7),5,IF(AND(VALUE(G506)&gt;7,VALUE(G506)&lt;=12),4,IF(AND(VALUE(G506)&gt;12,VALUE(G506)&lt;=17),3,IF(AND(VALUE(G506)&gt;17,VALUE(G506)&lt;=25),2,IF(VALUE(G506)&gt;25,1,1)))))</f>
        <v>2</v>
      </c>
      <c r="H837"/>
    </row>
    <row r="838" spans="1:9" x14ac:dyDescent="0.25">
      <c r="A838" s="3"/>
      <c r="B838" s="144" t="s">
        <v>239</v>
      </c>
      <c r="C838" s="139"/>
      <c r="D838" s="117">
        <f>D836+1</f>
        <v>696</v>
      </c>
      <c r="E838" s="118">
        <f>G838</f>
        <v>2</v>
      </c>
      <c r="F838" s="19"/>
      <c r="G838" s="11">
        <f>G837</f>
        <v>2</v>
      </c>
      <c r="H838"/>
      <c r="I838" s="374"/>
    </row>
    <row r="839" spans="1:9" x14ac:dyDescent="0.25">
      <c r="A839" s="3"/>
      <c r="B839" s="15" t="s">
        <v>687</v>
      </c>
      <c r="C839" s="17"/>
      <c r="D839" s="87" t="s">
        <v>1123</v>
      </c>
      <c r="E839" s="18">
        <f t="shared" si="86"/>
        <v>0</v>
      </c>
      <c r="F839" s="19"/>
      <c r="G839" s="11">
        <f>VALUE(G507)+VALUE(G508)</f>
        <v>0</v>
      </c>
      <c r="H839"/>
    </row>
    <row r="840" spans="1:9" x14ac:dyDescent="0.25">
      <c r="A840" s="3"/>
      <c r="B840" s="15" t="s">
        <v>688</v>
      </c>
      <c r="C840" s="17"/>
      <c r="D840" s="87" t="s">
        <v>1123</v>
      </c>
      <c r="E840" s="18">
        <f t="shared" si="86"/>
        <v>0</v>
      </c>
      <c r="F840" s="19"/>
      <c r="G840" s="11">
        <f>IF(G839=0,0,VALUE(G85)/VALUE(G839))</f>
        <v>0</v>
      </c>
      <c r="H840"/>
    </row>
    <row r="841" spans="1:9" x14ac:dyDescent="0.25">
      <c r="A841" s="3"/>
      <c r="B841" s="5" t="s">
        <v>240</v>
      </c>
      <c r="C841" s="17"/>
      <c r="D841" s="87" t="s">
        <v>1152</v>
      </c>
      <c r="E841" s="18">
        <f t="shared" si="86"/>
        <v>1</v>
      </c>
      <c r="F841" s="19"/>
      <c r="G841" s="11">
        <f>IF(G840&gt;=250,5,IF(AND(G840&gt;0,G840&lt;250),3,IF(G840=0,1,"CEK")))</f>
        <v>1</v>
      </c>
      <c r="H841"/>
    </row>
    <row r="842" spans="1:9" x14ac:dyDescent="0.25">
      <c r="A842" s="3"/>
      <c r="B842" s="144" t="s">
        <v>240</v>
      </c>
      <c r="C842" s="139"/>
      <c r="D842" s="117">
        <f>D838+1</f>
        <v>697</v>
      </c>
      <c r="E842" s="118">
        <f>G842</f>
        <v>1</v>
      </c>
      <c r="F842" s="19"/>
      <c r="G842" s="11">
        <f>G841</f>
        <v>1</v>
      </c>
      <c r="H842"/>
      <c r="I842" s="374"/>
    </row>
    <row r="843" spans="1:9" x14ac:dyDescent="0.25">
      <c r="A843" s="3"/>
      <c r="B843" s="5" t="s">
        <v>241</v>
      </c>
      <c r="C843" s="17"/>
      <c r="D843" s="87" t="s">
        <v>1152</v>
      </c>
      <c r="E843" s="18">
        <f t="shared" si="86"/>
        <v>5</v>
      </c>
      <c r="F843" s="19"/>
      <c r="G843" s="11">
        <f>IF(VALUE(G511)&gt;3,5,IF(VALUE(G511)=3,4,IF(VALUE(G511)=2,3,IF(VALUE(G511)=1,2,IF(VALUE(G511)=0,1,1)))))</f>
        <v>5</v>
      </c>
      <c r="H843"/>
    </row>
    <row r="844" spans="1:9" x14ac:dyDescent="0.25">
      <c r="A844" s="3"/>
      <c r="B844" s="144" t="s">
        <v>241</v>
      </c>
      <c r="C844" s="139"/>
      <c r="D844" s="117">
        <f>D842+1</f>
        <v>698</v>
      </c>
      <c r="E844" s="118">
        <f>G844</f>
        <v>5</v>
      </c>
      <c r="F844" s="19"/>
      <c r="G844" s="11">
        <f>G843</f>
        <v>5</v>
      </c>
      <c r="H844"/>
      <c r="I844" s="374"/>
    </row>
    <row r="845" spans="1:9" x14ac:dyDescent="0.25">
      <c r="A845" s="3"/>
      <c r="B845" s="15" t="s">
        <v>689</v>
      </c>
      <c r="C845" s="17"/>
      <c r="D845" s="87" t="s">
        <v>1123</v>
      </c>
      <c r="E845" s="18">
        <f t="shared" si="86"/>
        <v>1</v>
      </c>
      <c r="F845" s="19"/>
      <c r="G845" s="11">
        <f>VALUE(G512)+VALUE(G513)</f>
        <v>1</v>
      </c>
      <c r="H845"/>
    </row>
    <row r="846" spans="1:9" x14ac:dyDescent="0.25">
      <c r="A846" s="3"/>
      <c r="B846" s="5" t="s">
        <v>242</v>
      </c>
      <c r="C846" s="17"/>
      <c r="D846" s="87" t="s">
        <v>1152</v>
      </c>
      <c r="E846" s="18">
        <f t="shared" si="86"/>
        <v>3</v>
      </c>
      <c r="F846" s="19"/>
      <c r="G846" s="11">
        <f>IF(G845&gt;1,5,IF(G845=1,3,IF(G845=0,0,"CEK KEMBALI INPUTAN")))</f>
        <v>3</v>
      </c>
      <c r="H846"/>
    </row>
    <row r="847" spans="1:9" x14ac:dyDescent="0.25">
      <c r="A847" s="3"/>
      <c r="B847" s="144" t="s">
        <v>242</v>
      </c>
      <c r="C847" s="139"/>
      <c r="D847" s="117">
        <f>D844+1</f>
        <v>699</v>
      </c>
      <c r="E847" s="118">
        <f>G847</f>
        <v>3</v>
      </c>
      <c r="F847" s="19"/>
      <c r="G847" s="11">
        <f>G846</f>
        <v>3</v>
      </c>
      <c r="H847"/>
      <c r="I847" s="374"/>
    </row>
    <row r="848" spans="1:9" x14ac:dyDescent="0.25">
      <c r="A848" s="3"/>
      <c r="B848" s="15" t="s">
        <v>690</v>
      </c>
      <c r="C848" s="17"/>
      <c r="D848" s="87" t="s">
        <v>1123</v>
      </c>
      <c r="E848" s="18">
        <f t="shared" si="86"/>
        <v>0</v>
      </c>
      <c r="F848" s="19"/>
      <c r="G848" s="11">
        <f>VALUE(G521)+VALUE(G523)</f>
        <v>0</v>
      </c>
      <c r="H848"/>
    </row>
    <row r="849" spans="1:9" x14ac:dyDescent="0.25">
      <c r="A849" s="3"/>
      <c r="B849" s="5" t="s">
        <v>243</v>
      </c>
      <c r="C849" s="17"/>
      <c r="D849" s="87" t="s">
        <v>1152</v>
      </c>
      <c r="E849" s="18">
        <f t="shared" si="86"/>
        <v>0</v>
      </c>
      <c r="F849" s="19"/>
      <c r="G849" s="11">
        <f>IF(G848&gt;1,5,IF(G848=1,3,IF(G848=0,0,"MOHON KOREKSI KEMBALI INPUTAN ANDA")))</f>
        <v>0</v>
      </c>
      <c r="H849"/>
    </row>
    <row r="850" spans="1:9" x14ac:dyDescent="0.25">
      <c r="A850" s="3"/>
      <c r="B850" s="144" t="s">
        <v>243</v>
      </c>
      <c r="C850" s="139"/>
      <c r="D850" s="117">
        <f>D847+1</f>
        <v>700</v>
      </c>
      <c r="E850" s="118">
        <f>G850</f>
        <v>0</v>
      </c>
      <c r="F850" s="19"/>
      <c r="G850" s="11">
        <f>G849</f>
        <v>0</v>
      </c>
      <c r="H850"/>
      <c r="I850" s="374"/>
    </row>
    <row r="851" spans="1:9" x14ac:dyDescent="0.25">
      <c r="A851" s="3"/>
      <c r="B851" s="15" t="s">
        <v>244</v>
      </c>
      <c r="C851" s="17"/>
      <c r="D851" s="87" t="s">
        <v>1123</v>
      </c>
      <c r="E851" s="18">
        <f t="shared" si="86"/>
        <v>0</v>
      </c>
      <c r="F851" s="19"/>
      <c r="G851" s="11">
        <f>VALUE(G526)+VALUE(G528)+VALUE(G530)</f>
        <v>0</v>
      </c>
      <c r="H851"/>
    </row>
    <row r="852" spans="1:9" x14ac:dyDescent="0.25">
      <c r="A852" s="3"/>
      <c r="B852" s="5" t="s">
        <v>245</v>
      </c>
      <c r="C852" s="17"/>
      <c r="D852" s="87" t="s">
        <v>1152</v>
      </c>
      <c r="E852" s="18">
        <f t="shared" si="86"/>
        <v>0</v>
      </c>
      <c r="F852" s="19"/>
      <c r="G852" s="11">
        <f>IF(G851&gt;1,5,IF(G851=1,3,IF(G851=0,0,"MOHON KOREKSI KEMBALI INPUTAN ANDA")))</f>
        <v>0</v>
      </c>
      <c r="H852"/>
    </row>
    <row r="853" spans="1:9" x14ac:dyDescent="0.25">
      <c r="A853" s="3"/>
      <c r="B853" s="144" t="s">
        <v>245</v>
      </c>
      <c r="C853" s="139"/>
      <c r="D853" s="117">
        <f>D850+1</f>
        <v>701</v>
      </c>
      <c r="E853" s="118">
        <f>G853</f>
        <v>0</v>
      </c>
      <c r="F853" s="19"/>
      <c r="G853" s="11">
        <f>G852</f>
        <v>0</v>
      </c>
      <c r="H853"/>
      <c r="I853" s="374"/>
    </row>
    <row r="854" spans="1:9" x14ac:dyDescent="0.25">
      <c r="A854" s="3"/>
      <c r="B854" s="15" t="s">
        <v>691</v>
      </c>
      <c r="C854" s="17"/>
      <c r="D854" s="87" t="s">
        <v>1123</v>
      </c>
      <c r="E854" s="18">
        <f t="shared" si="86"/>
        <v>1</v>
      </c>
      <c r="F854" s="19"/>
      <c r="G854" s="11">
        <f>VALUE(G531)+VALUE(G532)+VALUE(G533)+VALUE(G534)</f>
        <v>1</v>
      </c>
      <c r="H854"/>
    </row>
    <row r="855" spans="1:9" x14ac:dyDescent="0.25">
      <c r="A855" s="3"/>
      <c r="B855" s="5" t="s">
        <v>246</v>
      </c>
      <c r="C855" s="17"/>
      <c r="D855" s="87" t="s">
        <v>1152</v>
      </c>
      <c r="E855" s="18">
        <f t="shared" si="86"/>
        <v>2</v>
      </c>
      <c r="F855" s="19"/>
      <c r="G855" s="11">
        <f>IF(G854=4,5,IF(G854=3,4,IF(G854=2,3,IF(G854=1,2,IF(G854=0,1,1)))))</f>
        <v>2</v>
      </c>
      <c r="H855"/>
    </row>
    <row r="856" spans="1:9" x14ac:dyDescent="0.25">
      <c r="A856" s="3"/>
      <c r="B856" s="144" t="s">
        <v>246</v>
      </c>
      <c r="C856" s="139"/>
      <c r="D856" s="117">
        <f>D853+1</f>
        <v>702</v>
      </c>
      <c r="E856" s="118">
        <f>G856</f>
        <v>2</v>
      </c>
      <c r="F856" s="19"/>
      <c r="G856" s="11">
        <f>G855</f>
        <v>2</v>
      </c>
      <c r="H856"/>
      <c r="I856" s="374"/>
    </row>
    <row r="857" spans="1:9" x14ac:dyDescent="0.25">
      <c r="A857" s="3"/>
      <c r="B857" s="15" t="s">
        <v>247</v>
      </c>
      <c r="C857" s="17"/>
      <c r="D857" s="87" t="s">
        <v>1123</v>
      </c>
      <c r="E857" s="18">
        <f t="shared" si="86"/>
        <v>2</v>
      </c>
      <c r="F857" s="19"/>
      <c r="G857" s="11">
        <f>VALUE(G537)+VALUE(G538)</f>
        <v>2</v>
      </c>
      <c r="H857"/>
    </row>
    <row r="858" spans="1:9" x14ac:dyDescent="0.25">
      <c r="A858" s="3"/>
      <c r="B858" s="5" t="s">
        <v>248</v>
      </c>
      <c r="C858" s="17"/>
      <c r="D858" s="87" t="s">
        <v>1152</v>
      </c>
      <c r="E858" s="18">
        <f t="shared" si="86"/>
        <v>5</v>
      </c>
      <c r="F858" s="19"/>
      <c r="G858" s="11">
        <f>IF(G857&gt;1,5,IF(G857=1,3,IF(G857=0,1,"MOHON KOREKSI KEMBALI INPUTAN ANDA")))</f>
        <v>5</v>
      </c>
      <c r="H858"/>
    </row>
    <row r="859" spans="1:9" x14ac:dyDescent="0.25">
      <c r="A859" s="3"/>
      <c r="B859" s="144" t="s">
        <v>248</v>
      </c>
      <c r="C859" s="139"/>
      <c r="D859" s="117">
        <f>D856+1</f>
        <v>703</v>
      </c>
      <c r="E859" s="118">
        <f>G859</f>
        <v>5</v>
      </c>
      <c r="F859" s="19"/>
      <c r="G859" s="11">
        <f>G858</f>
        <v>5</v>
      </c>
      <c r="H859"/>
      <c r="I859" s="374"/>
    </row>
    <row r="860" spans="1:9" x14ac:dyDescent="0.25">
      <c r="A860" s="3"/>
      <c r="B860" s="5" t="s">
        <v>249</v>
      </c>
      <c r="C860" s="17"/>
      <c r="D860" s="87" t="s">
        <v>1152</v>
      </c>
      <c r="E860" s="18">
        <f t="shared" si="86"/>
        <v>3</v>
      </c>
      <c r="F860" s="19"/>
      <c r="G860" s="11">
        <f>IF(VALUE(G600)=1,5,IF(VALUE(G600)=2,3,IF(VALUE(G600)=3,1,1)))</f>
        <v>3</v>
      </c>
      <c r="H860"/>
    </row>
    <row r="861" spans="1:9" x14ac:dyDescent="0.25">
      <c r="A861" s="3"/>
      <c r="B861" s="144" t="s">
        <v>249</v>
      </c>
      <c r="C861" s="139"/>
      <c r="D861" s="117">
        <f>D859+1</f>
        <v>704</v>
      </c>
      <c r="E861" s="118">
        <f>G861</f>
        <v>3</v>
      </c>
      <c r="F861" s="19"/>
      <c r="G861" s="11">
        <f>G860</f>
        <v>3</v>
      </c>
      <c r="H861"/>
      <c r="I861" s="374"/>
    </row>
    <row r="862" spans="1:9" x14ac:dyDescent="0.25">
      <c r="A862" s="3"/>
      <c r="B862" s="5" t="s">
        <v>250</v>
      </c>
      <c r="C862" s="17"/>
      <c r="D862" s="87" t="s">
        <v>1152</v>
      </c>
      <c r="E862" s="18">
        <f t="shared" si="86"/>
        <v>5</v>
      </c>
      <c r="F862" s="19"/>
      <c r="G862" s="11">
        <f>IF(VALUE(G603)=1,5,IF(VALUE(G603)=2,3,IF(VALUE(G603)=3,1,1)))</f>
        <v>5</v>
      </c>
      <c r="H862"/>
    </row>
    <row r="863" spans="1:9" x14ac:dyDescent="0.25">
      <c r="A863" s="3"/>
      <c r="B863" s="144" t="s">
        <v>250</v>
      </c>
      <c r="C863" s="139"/>
      <c r="D863" s="117">
        <f>D861+1</f>
        <v>705</v>
      </c>
      <c r="E863" s="118">
        <f>G863</f>
        <v>5</v>
      </c>
      <c r="F863" s="19"/>
      <c r="G863" s="11">
        <f>G862</f>
        <v>5</v>
      </c>
      <c r="H863"/>
      <c r="I863" s="374"/>
    </row>
    <row r="864" spans="1:9" x14ac:dyDescent="0.25">
      <c r="A864" s="3"/>
      <c r="B864" s="5" t="s">
        <v>251</v>
      </c>
      <c r="C864" s="17"/>
      <c r="D864" s="87" t="s">
        <v>1152</v>
      </c>
      <c r="E864" s="18">
        <f t="shared" si="86"/>
        <v>4</v>
      </c>
      <c r="F864" s="19"/>
      <c r="G864" s="11">
        <f>IF(VALUE(G604)=1,5,IF(VALUE(G604)=2,4,IF(VALUE(G604)=3,3,IF(VALUE(G604)=4,1,1))))</f>
        <v>4</v>
      </c>
      <c r="H864"/>
    </row>
    <row r="865" spans="1:9" x14ac:dyDescent="0.25">
      <c r="A865" s="3"/>
      <c r="B865" s="144" t="s">
        <v>251</v>
      </c>
      <c r="C865" s="140"/>
      <c r="D865" s="117">
        <f>D863+1</f>
        <v>706</v>
      </c>
      <c r="E865" s="118">
        <f>G865</f>
        <v>4</v>
      </c>
      <c r="F865" s="19"/>
      <c r="G865" s="11">
        <f>G864</f>
        <v>4</v>
      </c>
      <c r="H865"/>
      <c r="I865" s="374"/>
    </row>
    <row r="866" spans="1:9" x14ac:dyDescent="0.25">
      <c r="A866" s="3"/>
      <c r="B866" s="101" t="s">
        <v>1017</v>
      </c>
      <c r="C866" s="112"/>
      <c r="D866" s="87" t="s">
        <v>1152</v>
      </c>
      <c r="E866" s="18">
        <f t="shared" si="86"/>
        <v>35</v>
      </c>
      <c r="F866" s="21"/>
      <c r="G866" s="11">
        <f>G835+G837+G841+G843+G846+G849+G852+G855+G858+G860+G862+G864</f>
        <v>35</v>
      </c>
      <c r="H866"/>
    </row>
    <row r="867" spans="1:9" x14ac:dyDescent="0.25">
      <c r="A867" s="3"/>
      <c r="B867" s="101" t="s">
        <v>1018</v>
      </c>
      <c r="C867" s="112"/>
      <c r="D867" s="87" t="s">
        <v>1152</v>
      </c>
      <c r="E867" s="18">
        <f t="shared" si="86"/>
        <v>0.58333333333333337</v>
      </c>
      <c r="F867" s="21"/>
      <c r="G867" s="23">
        <f>G866/60</f>
        <v>0.58333333333333337</v>
      </c>
      <c r="H867"/>
    </row>
    <row r="868" spans="1:9" x14ac:dyDescent="0.25">
      <c r="A868" s="3"/>
      <c r="B868" s="145" t="s">
        <v>1018</v>
      </c>
      <c r="C868" s="146"/>
      <c r="D868" s="117">
        <f>D865+1</f>
        <v>707</v>
      </c>
      <c r="E868" s="143">
        <f>G868</f>
        <v>0.58333333333333337</v>
      </c>
      <c r="F868" s="19"/>
      <c r="G868" s="23">
        <f>G867</f>
        <v>0.58333333333333337</v>
      </c>
      <c r="H868"/>
      <c r="I868" s="374"/>
    </row>
    <row r="869" spans="1:9" x14ac:dyDescent="0.25">
      <c r="A869" s="3"/>
      <c r="B869" s="14" t="s">
        <v>676</v>
      </c>
      <c r="C869" s="17"/>
      <c r="D869" s="87" t="s">
        <v>1123</v>
      </c>
      <c r="E869" s="18">
        <f t="shared" si="86"/>
        <v>0</v>
      </c>
      <c r="F869" s="19"/>
      <c r="G869" s="11">
        <f>IF(VALUE(G609)&gt;=1,1,0)</f>
        <v>0</v>
      </c>
      <c r="H869"/>
    </row>
    <row r="870" spans="1:9" x14ac:dyDescent="0.25">
      <c r="A870" s="3"/>
      <c r="B870" s="14" t="s">
        <v>677</v>
      </c>
      <c r="C870" s="17"/>
      <c r="D870" s="87" t="s">
        <v>1123</v>
      </c>
      <c r="E870" s="18">
        <f t="shared" si="86"/>
        <v>0</v>
      </c>
      <c r="F870" s="19"/>
      <c r="G870" s="11">
        <f>IF(VALUE(G610)&gt;=1,1,0)</f>
        <v>0</v>
      </c>
      <c r="H870"/>
    </row>
    <row r="871" spans="1:9" x14ac:dyDescent="0.25">
      <c r="A871" s="3"/>
      <c r="B871" s="15" t="s">
        <v>678</v>
      </c>
      <c r="C871" s="17"/>
      <c r="D871" s="87" t="s">
        <v>1123</v>
      </c>
      <c r="E871" s="18">
        <f t="shared" si="86"/>
        <v>0</v>
      </c>
      <c r="F871" s="19"/>
      <c r="G871" s="11">
        <f>IF(VALUE(G611)&gt;=1,1,0)</f>
        <v>0</v>
      </c>
      <c r="H871"/>
    </row>
    <row r="872" spans="1:9" x14ac:dyDescent="0.25">
      <c r="A872" s="3"/>
      <c r="B872" s="15" t="s">
        <v>679</v>
      </c>
      <c r="C872" s="17"/>
      <c r="D872" s="87" t="s">
        <v>1123</v>
      </c>
      <c r="E872" s="18">
        <f t="shared" si="86"/>
        <v>0</v>
      </c>
      <c r="F872" s="19"/>
      <c r="G872" s="11">
        <f>IF(VALUE(G613)&gt;=1,1,0)</f>
        <v>0</v>
      </c>
      <c r="H872"/>
    </row>
    <row r="873" spans="1:9" x14ac:dyDescent="0.25">
      <c r="A873" s="3"/>
      <c r="B873" s="15" t="s">
        <v>680</v>
      </c>
      <c r="C873" s="17"/>
      <c r="D873" s="87" t="s">
        <v>1123</v>
      </c>
      <c r="E873" s="18">
        <f t="shared" si="86"/>
        <v>0</v>
      </c>
      <c r="F873" s="19"/>
      <c r="G873" s="11">
        <f>(G869+G870+G871+G872)/4</f>
        <v>0</v>
      </c>
      <c r="H873"/>
    </row>
    <row r="874" spans="1:9" x14ac:dyDescent="0.25">
      <c r="A874" s="3"/>
      <c r="B874" s="6" t="s">
        <v>253</v>
      </c>
      <c r="C874" s="17"/>
      <c r="D874" s="87" t="s">
        <v>1152</v>
      </c>
      <c r="E874" s="18">
        <f t="shared" si="86"/>
        <v>5</v>
      </c>
      <c r="F874" s="19"/>
      <c r="G874" s="11">
        <f>IF(G873=0,5,IF(G873=0.25,4,IF(G873=0.5,3,IF(G873=0.75,2,IF(G873=1,0,"CEK")))))</f>
        <v>5</v>
      </c>
      <c r="H874"/>
    </row>
    <row r="875" spans="1:9" x14ac:dyDescent="0.25">
      <c r="A875" s="3"/>
      <c r="B875" s="147" t="s">
        <v>253</v>
      </c>
      <c r="C875" s="139"/>
      <c r="D875" s="117">
        <f>D868+1</f>
        <v>708</v>
      </c>
      <c r="E875" s="118">
        <f>G875</f>
        <v>5</v>
      </c>
      <c r="F875" s="19"/>
      <c r="G875" s="11">
        <f>G874</f>
        <v>5</v>
      </c>
      <c r="H875"/>
      <c r="I875" s="374"/>
    </row>
    <row r="876" spans="1:9" x14ac:dyDescent="0.25">
      <c r="A876" s="3"/>
      <c r="B876" s="15" t="s">
        <v>681</v>
      </c>
      <c r="C876" s="17"/>
      <c r="D876" s="87" t="s">
        <v>1123</v>
      </c>
      <c r="E876" s="18">
        <f t="shared" si="86"/>
        <v>0</v>
      </c>
      <c r="F876" s="19"/>
      <c r="G876" s="11">
        <f>IF(VALUE(G617)=0,0,IF(VALUE(G617)&gt;0,1,1))</f>
        <v>0</v>
      </c>
      <c r="H876"/>
    </row>
    <row r="877" spans="1:9" x14ac:dyDescent="0.25">
      <c r="A877" s="3"/>
      <c r="B877" s="15" t="s">
        <v>583</v>
      </c>
      <c r="C877" s="17"/>
      <c r="D877" s="87" t="s">
        <v>1123</v>
      </c>
      <c r="E877" s="18">
        <f t="shared" si="86"/>
        <v>0</v>
      </c>
      <c r="F877" s="19"/>
      <c r="G877" s="11">
        <f>IF(VALUE(G618)=0,0,IF(VALUE(G618)&gt;0,1,1))</f>
        <v>0</v>
      </c>
      <c r="H877"/>
    </row>
    <row r="878" spans="1:9" x14ac:dyDescent="0.25">
      <c r="A878" s="3"/>
      <c r="B878" s="15" t="s">
        <v>589</v>
      </c>
      <c r="C878" s="17"/>
      <c r="D878" s="87" t="s">
        <v>1123</v>
      </c>
      <c r="E878" s="18">
        <f t="shared" si="86"/>
        <v>0</v>
      </c>
      <c r="F878" s="19"/>
      <c r="G878" s="11">
        <f>IF(VALUE(G624)=0,0,IF(VALUE(G624)&gt;0,1,1))</f>
        <v>0</v>
      </c>
      <c r="H878"/>
    </row>
    <row r="879" spans="1:9" x14ac:dyDescent="0.25">
      <c r="A879" s="3"/>
      <c r="B879" s="15" t="s">
        <v>254</v>
      </c>
      <c r="C879" s="17"/>
      <c r="D879" s="87" t="s">
        <v>1123</v>
      </c>
      <c r="E879" s="18">
        <f t="shared" si="86"/>
        <v>0</v>
      </c>
      <c r="F879" s="19"/>
      <c r="G879" s="11">
        <f>G876+G877+G878</f>
        <v>0</v>
      </c>
      <c r="H879"/>
    </row>
    <row r="880" spans="1:9" x14ac:dyDescent="0.25">
      <c r="A880" s="3"/>
      <c r="B880" s="6" t="s">
        <v>255</v>
      </c>
      <c r="C880" s="17"/>
      <c r="D880" s="87" t="s">
        <v>1152</v>
      </c>
      <c r="E880" s="18">
        <f t="shared" si="86"/>
        <v>5</v>
      </c>
      <c r="F880" s="19"/>
      <c r="G880" s="11">
        <f>IF(G879=0,5,IF(G879=1,4,IF(G879=2,3,IF(G879&gt;=3,0,"CEK INPUTAN ANDA"))))</f>
        <v>5</v>
      </c>
      <c r="H880"/>
    </row>
    <row r="881" spans="1:9" x14ac:dyDescent="0.25">
      <c r="A881" s="3"/>
      <c r="B881" s="147" t="s">
        <v>255</v>
      </c>
      <c r="C881" s="139"/>
      <c r="D881" s="117">
        <f>D875+1</f>
        <v>709</v>
      </c>
      <c r="E881" s="118">
        <f>G881</f>
        <v>5</v>
      </c>
      <c r="F881" s="19"/>
      <c r="G881" s="11">
        <f>G880</f>
        <v>5</v>
      </c>
      <c r="H881"/>
      <c r="I881" s="374"/>
    </row>
    <row r="882" spans="1:9" x14ac:dyDescent="0.25">
      <c r="A882" s="3"/>
      <c r="B882" s="15" t="s">
        <v>682</v>
      </c>
      <c r="C882" s="17"/>
      <c r="D882" s="87" t="s">
        <v>1123</v>
      </c>
      <c r="E882" s="18">
        <f t="shared" si="86"/>
        <v>0</v>
      </c>
      <c r="F882" s="19"/>
      <c r="G882" s="11">
        <f>IF(VALUE(G628)&gt;=1,1,0)</f>
        <v>0</v>
      </c>
      <c r="H882"/>
    </row>
    <row r="883" spans="1:9" x14ac:dyDescent="0.25">
      <c r="A883" s="3"/>
      <c r="B883" s="15" t="s">
        <v>683</v>
      </c>
      <c r="C883" s="17"/>
      <c r="D883" s="87" t="s">
        <v>1123</v>
      </c>
      <c r="E883" s="18">
        <f t="shared" si="86"/>
        <v>1</v>
      </c>
      <c r="F883" s="19"/>
      <c r="G883" s="11">
        <f>IF(VALUE(G630)&gt;=1,1,0)</f>
        <v>1</v>
      </c>
      <c r="H883"/>
    </row>
    <row r="884" spans="1:9" x14ac:dyDescent="0.25">
      <c r="A884" s="3"/>
      <c r="B884" s="15" t="s">
        <v>684</v>
      </c>
      <c r="C884" s="17"/>
      <c r="D884" s="87" t="s">
        <v>1123</v>
      </c>
      <c r="E884" s="18">
        <f t="shared" si="86"/>
        <v>1</v>
      </c>
      <c r="F884" s="19"/>
      <c r="G884" s="11">
        <f>IF(VALUE(G631)&gt;=1,1,0)</f>
        <v>1</v>
      </c>
      <c r="H884"/>
    </row>
    <row r="885" spans="1:9" x14ac:dyDescent="0.25">
      <c r="A885" s="3"/>
      <c r="B885" s="15" t="s">
        <v>685</v>
      </c>
      <c r="C885" s="17"/>
      <c r="D885" s="87" t="s">
        <v>1123</v>
      </c>
      <c r="E885" s="18">
        <f t="shared" si="86"/>
        <v>2</v>
      </c>
      <c r="F885" s="19"/>
      <c r="G885" s="11">
        <f>G882+G883+G884</f>
        <v>2</v>
      </c>
      <c r="H885"/>
    </row>
    <row r="886" spans="1:9" x14ac:dyDescent="0.25">
      <c r="A886" s="3"/>
      <c r="B886" s="6" t="s">
        <v>256</v>
      </c>
      <c r="C886" s="17"/>
      <c r="D886" s="87" t="s">
        <v>1152</v>
      </c>
      <c r="E886" s="18">
        <f t="shared" si="86"/>
        <v>4</v>
      </c>
      <c r="F886" s="19"/>
      <c r="G886" s="11">
        <f>IF(G885=3,5,IF(G885=2,4,IF(G885=1,3,IF(G885=0,0,"MOHON KOREKSI KEMBALI INPUTAN ANDA"))))</f>
        <v>4</v>
      </c>
      <c r="H886"/>
    </row>
    <row r="887" spans="1:9" x14ac:dyDescent="0.25">
      <c r="A887" s="3"/>
      <c r="B887" s="147" t="s">
        <v>256</v>
      </c>
      <c r="C887" s="140"/>
      <c r="D887" s="117">
        <f>D881+1</f>
        <v>710</v>
      </c>
      <c r="E887" s="118">
        <f>G887</f>
        <v>4</v>
      </c>
      <c r="F887" s="19"/>
      <c r="G887" s="11">
        <f>G886</f>
        <v>4</v>
      </c>
      <c r="H887"/>
      <c r="I887" s="374"/>
    </row>
    <row r="888" spans="1:9" x14ac:dyDescent="0.25">
      <c r="A888" s="3"/>
      <c r="B888" s="102" t="s">
        <v>1013</v>
      </c>
      <c r="C888" s="113"/>
      <c r="D888" s="87" t="s">
        <v>1152</v>
      </c>
      <c r="E888" s="18">
        <f t="shared" si="86"/>
        <v>14</v>
      </c>
      <c r="F888" s="21"/>
      <c r="G888" s="11">
        <f>G874+G880+G886</f>
        <v>14</v>
      </c>
      <c r="H888"/>
    </row>
    <row r="889" spans="1:9" x14ac:dyDescent="0.25">
      <c r="A889" s="3"/>
      <c r="B889" s="102" t="s">
        <v>1014</v>
      </c>
      <c r="C889" s="113"/>
      <c r="D889" s="87" t="s">
        <v>1152</v>
      </c>
      <c r="E889" s="18">
        <f t="shared" si="86"/>
        <v>0.93333333333333335</v>
      </c>
      <c r="F889" s="21"/>
      <c r="G889" s="23">
        <f>G888/15</f>
        <v>0.93333333333333335</v>
      </c>
    </row>
    <row r="890" spans="1:9" x14ac:dyDescent="0.25">
      <c r="A890" s="3"/>
      <c r="B890" s="148" t="s">
        <v>1014</v>
      </c>
      <c r="C890" s="149"/>
      <c r="D890" s="117">
        <f>D887+1</f>
        <v>711</v>
      </c>
      <c r="E890" s="143">
        <f>G890</f>
        <v>0.93333333333333335</v>
      </c>
      <c r="F890" s="19"/>
      <c r="G890" s="23">
        <f>G889</f>
        <v>0.93333333333333335</v>
      </c>
      <c r="I890" s="374"/>
    </row>
    <row r="891" spans="1:9" s="344" customFormat="1" x14ac:dyDescent="0.25">
      <c r="A891" s="16"/>
      <c r="B891" s="168"/>
      <c r="C891" s="169"/>
      <c r="D891" s="167"/>
      <c r="E891" s="118"/>
      <c r="F891" s="1"/>
      <c r="G891" s="23"/>
      <c r="H891" s="90"/>
      <c r="I891" s="375"/>
    </row>
    <row r="892" spans="1:9" x14ac:dyDescent="0.25">
      <c r="A892" s="3"/>
      <c r="B892" s="103" t="s">
        <v>1015</v>
      </c>
      <c r="C892" s="114"/>
      <c r="D892" s="87" t="s">
        <v>1152</v>
      </c>
      <c r="E892" s="18">
        <f t="shared" si="86"/>
        <v>0.75888888888888884</v>
      </c>
      <c r="F892" s="21"/>
      <c r="G892" s="23">
        <f>(G832+G867+G889)/3</f>
        <v>0.75888888888888884</v>
      </c>
    </row>
    <row r="893" spans="1:9" x14ac:dyDescent="0.25">
      <c r="A893" s="3"/>
      <c r="B893" s="150" t="s">
        <v>1015</v>
      </c>
      <c r="C893" s="151"/>
      <c r="D893" s="117">
        <f>D890+1</f>
        <v>712</v>
      </c>
      <c r="E893" s="143">
        <f>G893</f>
        <v>0.75888888888888884</v>
      </c>
      <c r="F893" s="19"/>
      <c r="G893" s="23">
        <f>G892</f>
        <v>0.75888888888888884</v>
      </c>
      <c r="I893" s="374"/>
    </row>
    <row r="894" spans="1:9" ht="19.5" x14ac:dyDescent="0.25">
      <c r="A894" s="3"/>
      <c r="B894" s="103" t="s">
        <v>1016</v>
      </c>
      <c r="C894" s="114"/>
      <c r="D894" s="87" t="s">
        <v>1152</v>
      </c>
      <c r="E894" s="18" t="str">
        <f t="shared" si="86"/>
        <v>Maju</v>
      </c>
      <c r="F894" s="21"/>
      <c r="G894" s="25" t="str">
        <f>IF(G892&lt;=0.4907,"Sangat Tertinggal",IF(AND(G892&gt;0.4907,G892&lt;=0.5989),"Tertinggal",IF(AND(G892&gt;0.5989,G892&lt;=0.7072),"Berkembang",IF(AND(G892&gt;0.7072,G892&lt;=0.8155),"Maju",IF(AND(G892&gt;0.8155,G892&lt;=1),"Mandiri","KOREKSI KEMBALI")))))</f>
        <v>Maju</v>
      </c>
    </row>
    <row r="895" spans="1:9" ht="19.5" x14ac:dyDescent="0.25">
      <c r="A895" s="3"/>
      <c r="B895" s="150" t="s">
        <v>1016</v>
      </c>
      <c r="C895" s="151"/>
      <c r="D895" s="117">
        <f>D893+1</f>
        <v>713</v>
      </c>
      <c r="E895" s="152" t="str">
        <f>G895</f>
        <v>Maju</v>
      </c>
      <c r="F895" s="19"/>
      <c r="G895" s="99" t="str">
        <f>G894</f>
        <v>Maju</v>
      </c>
    </row>
  </sheetData>
  <autoFilter ref="A4:H895" xr:uid="{00000000-0009-0000-0000-000000000000}"/>
  <dataConsolidate/>
  <customSheetViews>
    <customSheetView guid="{476CFAD8-C487-44BD-897A-3F62331792BC}" topLeftCell="A463">
      <selection activeCell="A453" activeCellId="5" sqref="G466:G558 E1:E1048576 C1:C1048576 D1:D1048576 B1:B1048576 A1:A1048576"/>
      <pageMargins left="0.7" right="0.7" top="0.75" bottom="0.75" header="0.3" footer="0.3"/>
      <pageSetup paperSize="9" orientation="portrait" verticalDpi="0" r:id="rId1"/>
    </customSheetView>
  </customSheetViews>
  <mergeCells count="112">
    <mergeCell ref="A678:A683"/>
    <mergeCell ref="A672:A677"/>
    <mergeCell ref="A723:A730"/>
    <mergeCell ref="A736:A739"/>
    <mergeCell ref="A732:A735"/>
    <mergeCell ref="A5:D5"/>
    <mergeCell ref="A640:C640"/>
    <mergeCell ref="A666:A669"/>
    <mergeCell ref="A641:A654"/>
    <mergeCell ref="A685:A693"/>
    <mergeCell ref="A405:C405"/>
    <mergeCell ref="A338:A343"/>
    <mergeCell ref="A348:A352"/>
    <mergeCell ref="A356:A365"/>
    <mergeCell ref="A314:A316"/>
    <mergeCell ref="A317:A327"/>
    <mergeCell ref="A330:A337"/>
    <mergeCell ref="A291:A313"/>
    <mergeCell ref="A704:A708"/>
    <mergeCell ref="A709:A713"/>
    <mergeCell ref="A715:A722"/>
    <mergeCell ref="A609:A611"/>
    <mergeCell ref="A617:A627"/>
    <mergeCell ref="A628:A631"/>
    <mergeCell ref="A694:A702"/>
    <mergeCell ref="A123:A124"/>
    <mergeCell ref="A1:G1"/>
    <mergeCell ref="A3:D3"/>
    <mergeCell ref="A9:C9"/>
    <mergeCell ref="A28:A29"/>
    <mergeCell ref="A41:A68"/>
    <mergeCell ref="A15:A16"/>
    <mergeCell ref="A17:A18"/>
    <mergeCell ref="A19:A20"/>
    <mergeCell ref="A21:A22"/>
    <mergeCell ref="A23:A24"/>
    <mergeCell ref="A69:C69"/>
    <mergeCell ref="A125:C125"/>
    <mergeCell ref="A254:A257"/>
    <mergeCell ref="A258:A261"/>
    <mergeCell ref="A262:A265"/>
    <mergeCell ref="A178:A179"/>
    <mergeCell ref="A181:A185"/>
    <mergeCell ref="A186:A190"/>
    <mergeCell ref="A192:A194"/>
    <mergeCell ref="A196:A197"/>
    <mergeCell ref="A198:A199"/>
    <mergeCell ref="A633:A634"/>
    <mergeCell ref="A505:A506"/>
    <mergeCell ref="A488:A496"/>
    <mergeCell ref="A486:A487"/>
    <mergeCell ref="A474:A477"/>
    <mergeCell ref="A464:A468"/>
    <mergeCell ref="A446:A447"/>
    <mergeCell ref="A427:A435"/>
    <mergeCell ref="A481:C481"/>
    <mergeCell ref="A656:A664"/>
    <mergeCell ref="A632:C632"/>
    <mergeCell ref="A521:A522"/>
    <mergeCell ref="A523:A524"/>
    <mergeCell ref="A526:A527"/>
    <mergeCell ref="A531:A535"/>
    <mergeCell ref="A606:C606"/>
    <mergeCell ref="A528:A529"/>
    <mergeCell ref="A96:A122"/>
    <mergeCell ref="A89:A94"/>
    <mergeCell ref="A25:A27"/>
    <mergeCell ref="B336:B337"/>
    <mergeCell ref="A164:A166"/>
    <mergeCell ref="A160:A162"/>
    <mergeCell ref="A156:A158"/>
    <mergeCell ref="A152:A154"/>
    <mergeCell ref="A148:A150"/>
    <mergeCell ref="A144:A146"/>
    <mergeCell ref="A140:A142"/>
    <mergeCell ref="A136:A138"/>
    <mergeCell ref="A132:A134"/>
    <mergeCell ref="B119:B122"/>
    <mergeCell ref="A200:A201"/>
    <mergeCell ref="A175:A176"/>
    <mergeCell ref="A172:A173"/>
    <mergeCell ref="A168:A170"/>
    <mergeCell ref="A252:C252"/>
    <mergeCell ref="A202:A203"/>
    <mergeCell ref="A204:A205"/>
    <mergeCell ref="A207:A209"/>
    <mergeCell ref="A211:A213"/>
    <mergeCell ref="A250:A251"/>
    <mergeCell ref="A386:A395"/>
    <mergeCell ref="A407:A414"/>
    <mergeCell ref="A289:A290"/>
    <mergeCell ref="A437:A441"/>
    <mergeCell ref="A449:A457"/>
    <mergeCell ref="A458:A461"/>
    <mergeCell ref="A498:A503"/>
    <mergeCell ref="A538:A598"/>
    <mergeCell ref="A128:A130"/>
    <mergeCell ref="A416:A425"/>
    <mergeCell ref="A396:A403"/>
    <mergeCell ref="A375:A384"/>
    <mergeCell ref="A366:A373"/>
    <mergeCell ref="A215:A232"/>
    <mergeCell ref="A234:A248"/>
    <mergeCell ref="A268:A269"/>
    <mergeCell ref="A270:A271"/>
    <mergeCell ref="A273:A278"/>
    <mergeCell ref="A280:A281"/>
    <mergeCell ref="A284:A285"/>
    <mergeCell ref="A287:A288"/>
    <mergeCell ref="A345:A347"/>
    <mergeCell ref="A513:A515"/>
    <mergeCell ref="A509:A510"/>
  </mergeCells>
  <dataValidations xWindow="1283" yWindow="774" count="638">
    <dataValidation type="list" operator="greaterThanOrEqual" showInputMessage="1" showErrorMessage="1" promptTitle="Info APBDes (Website)" prompt="0: Tidak_x000a_1: Ya" sqref="G668" xr:uid="{00000000-0002-0000-0000-000000000000}">
      <formula1>"0,1"</formula1>
    </dataValidation>
    <dataValidation type="list" operator="greaterThanOrEqual" showInputMessage="1" showErrorMessage="1" promptTitle="Info APBDes (Papan Informasi)" prompt="0: Tidak_x000a_1: Ya" sqref="G666" xr:uid="{00000000-0002-0000-0000-000001000000}">
      <formula1>"0,1"</formula1>
    </dataValidation>
    <dataValidation type="list" operator="greaterThanOrEqual" showInputMessage="1" showErrorMessage="1" promptTitle="Info APBDes (Musdes)" prompt="0: Tidak_x000a_1: Ya" sqref="G667" xr:uid="{00000000-0002-0000-0000-000002000000}">
      <formula1>"0,1"</formula1>
    </dataValidation>
    <dataValidation type="list" allowBlank="1" showInputMessage="1" showErrorMessage="1" promptTitle="Perdes Kesehatan &amp; Pendidikan" prompt="Terdapat Peraturan Desa tentang Kesehatan dan Pendidikan_x000a_0: Tidak Ada_x000a_1: Ada" sqref="G639" xr:uid="{00000000-0002-0000-0000-000003000000}">
      <formula1>"0,1"</formula1>
    </dataValidation>
    <dataValidation allowBlank="1" showInputMessage="1" showErrorMessage="1" promptTitle="Sumber Pangan" prompt="Sumber pangan yang paling sering dikonsumsi masyarakat Desa (sebutkan 3)" sqref="G638" xr:uid="{00000000-0002-0000-0000-000004000000}"/>
    <dataValidation type="list" showInputMessage="1" showErrorMessage="1" promptTitle="Kebun Gizi" prompt="Ketersediaan kebun gizi di Desa_x000a_0: Tidak Ada_x000a_1: Ada" sqref="G637" xr:uid="{00000000-0002-0000-0000-000005000000}">
      <formula1>"0,1"</formula1>
    </dataValidation>
    <dataValidation type="list" allowBlank="1" showInputMessage="1" showErrorMessage="1" promptTitle="Tersedia PLD" prompt="Ketersediaan pendamping Lokal Desa di Desa_x000a_0: Tidak Ada_x000a_1: Ada" sqref="G633" xr:uid="{00000000-0002-0000-0000-000006000000}">
      <formula1>"0,1"</formula1>
    </dataValidation>
    <dataValidation type="list" showInputMessage="1" showErrorMessage="1" promptTitle="Jalur Evakuasi" prompt="Terdapat fasilitas mitigasi bencana alam di Desa berupa jalur evakuasi_x000a_0: Tidak Ada_x000a_1: Ada" sqref="G631" xr:uid="{00000000-0002-0000-0000-000007000000}">
      <formula1>"0,1"</formula1>
    </dataValidation>
    <dataValidation type="list" showInputMessage="1" showErrorMessage="1" promptTitle="Peringatan Dini Bencana" prompt="Terdapat fasilitas mitigasi bencana alam di Desa berupa  peringatan dini bencana_x000a_0: Tidak Ada_x000a_1: Ada" sqref="G628" xr:uid="{00000000-0002-0000-0000-000008000000}">
      <formula1>"0,1"</formula1>
    </dataValidation>
    <dataValidation type="list" showInputMessage="1" showErrorMessage="1" promptTitle="Peringatan Dini Tsunami" prompt="Terdapat fasilitas mitigasi bencana alam di Desa berupa sistem peringatan dini khusus tsunami_x000a_0: Tidak Ada_x000a_1: Ada" sqref="G629" xr:uid="{00000000-0002-0000-0000-000009000000}">
      <formula1>"0,1"</formula1>
    </dataValidation>
    <dataValidation type="list" showInputMessage="1" showErrorMessage="1" promptTitle="Perlengkapan Keselamatan" prompt=" Terdapat fasilitas mitigasi bencana alam di Desa berupa perlengkapan keselamatan_x000a_0: Tidak Ada_x000a_1: Ada" sqref="G630" xr:uid="{00000000-0002-0000-0000-00000A000000}">
      <formula1>"0,1"</formula1>
    </dataValidation>
    <dataValidation operator="greaterThanOrEqual" showInputMessage="1" showErrorMessage="1" promptTitle="Bencana Lainnya" prompt="Sebutkan Bencana Lainnya" sqref="G626" xr:uid="{00000000-0002-0000-0000-00000B000000}"/>
    <dataValidation type="list" showInputMessage="1" showErrorMessage="1" promptTitle="Perubahan penggunaan lahan" prompt="Terdapat perubahan penggunaan lahan dari sektor pertanian menjadi non-pertanian_x000a_0: Tidak Ada_x000a_1: Ada" sqref="G615" xr:uid="{00000000-0002-0000-0000-00000C000000}">
      <formula1>"0,1"</formula1>
    </dataValidation>
    <dataValidation type="list" showInputMessage="1" showErrorMessage="1" promptTitle="Adanya Limbah di Sungai" prompt="Terdapat Sungai Terkena Pembuangan Limbah_x000a_0: Tidak Ada_x000a_1: Ada" sqref="G613" xr:uid="{00000000-0002-0000-0000-00000D000000}">
      <formula1>"0,1"</formula1>
    </dataValidation>
    <dataValidation type="list" showInputMessage="1" showErrorMessage="1" promptTitle="Perencanaan Tata Ruang" prompt="Terdapat Perencanaan Tata Ruang Desa_x000a_0: Tidak Ada_x000a_1: Ada" sqref="G614" xr:uid="{00000000-0002-0000-0000-00000E000000}">
      <formula1>"0,1"</formula1>
    </dataValidation>
    <dataValidation type="list" allowBlank="1" showInputMessage="1" showErrorMessage="1" promptTitle="Dampak Pencemaran" prompt="Dampak Pencemaran Lingkungan yang dirasakan_x000a_0: Tidak Mempengaruhi Kesehatan_x000a_1: Menyebabkan Gangguan Kesehatan Ringan_x000a_2: Menimbulkan Penyakit/ Infeksi_x000a_3: Menimbulkan Kematian" sqref="G612" xr:uid="{00000000-0002-0000-0000-00000F000000}">
      <formula1>"0,1,2,3"</formula1>
    </dataValidation>
    <dataValidation type="list" showInputMessage="1" showErrorMessage="1" promptTitle="Pencemaran Air" prompt="Terjadi pencemaran air_x000a_0: Tidak_x000a_1: Ya" sqref="G609" xr:uid="{00000000-0002-0000-0000-000010000000}">
      <formula1>"0,1"</formula1>
    </dataValidation>
    <dataValidation type="list" showInputMessage="1" showErrorMessage="1" promptTitle="Pencemaran Tanah" prompt="Terjadi pencemaran tanah_x000a_0: Tidak_x000a_1: Ya" sqref="G610" xr:uid="{00000000-0002-0000-0000-000011000000}">
      <formula1>"0,1"</formula1>
    </dataValidation>
    <dataValidation type="list" showInputMessage="1" showErrorMessage="1" promptTitle="Pencemaran Udara" prompt="Terjadi pencemaran udara_x000a_0: Tidak_x000a_1: Ya" sqref="G611" xr:uid="{00000000-0002-0000-0000-000012000000}">
      <formula1>"0,1"</formula1>
    </dataValidation>
    <dataValidation type="list" showInputMessage="1" showErrorMessage="1" promptTitle="Sumber air" prompt="Ketersediaan Sumber Air di Desa_x000a_1: Ya, Sepanjang Tahun_x000a_2: Ya, Kecuali Saat Tertentu Seperti Kemarau atau Kondisi Lainnya_x000a_3: Tidak Tersedia Sumber Air" sqref="G608" xr:uid="{00000000-0002-0000-0000-000013000000}">
      <formula1>"1,2,3"</formula1>
    </dataValidation>
    <dataValidation type="list" showInputMessage="1" showErrorMessage="1" promptTitle="Kualitas Jalan" prompt="Kualitas permukaan jalan di Desa_x000a_1: Baik_x000a_2: Rusak sedang_x000a_3: Rusak parah" sqref="G605" xr:uid="{00000000-0002-0000-0000-000014000000}">
      <formula1>"1,2,3"</formula1>
    </dataValidation>
    <dataValidation type="list" showInputMessage="1" showErrorMessage="1" promptTitle="Jenis permukaan jalan Desa" prompt="Jenis permukaan jalan Desa yang terluas_x000a_1: Aspal/ Beton_x000a_2: Diperkeras (kerikil, batu, dll)_x000a_3: Tanah_x000a_4: Lainnya" sqref="G604" xr:uid="{00000000-0002-0000-0000-000015000000}">
      <formula1>"1,2,3,4"</formula1>
    </dataValidation>
    <dataValidation type="list" showInputMessage="1" showErrorMessage="1" promptTitle="Keterbukaan wilayah" prompt="Jalan Desa dapat dilalui kendaraan bermotor roda empat_x000a_0: Tidak Ada_x000a_1: Sepanjang tahun_x000a_2: Sepanjang tahun kecuali saat tertentu_x000a_3: Tidak dapat dilalui sepanjang tahun" sqref="G603" xr:uid="{00000000-0002-0000-0000-000016000000}">
      <formula1>"0,1,2,3"</formula1>
    </dataValidation>
    <dataValidation type="list" allowBlank="1" showInputMessage="1" showErrorMessage="1" promptTitle="Angkutan Umum" prompt="Angkutan umum utama di Desa beroperasi setiap hari_x000a_0: Tidak_x000a_1: Ya" sqref="G601" xr:uid="{00000000-0002-0000-0000-000017000000}">
      <formula1>"1,0"</formula1>
    </dataValidation>
    <dataValidation type="list" showInputMessage="1" showErrorMessage="1" promptTitle="Ketersediaan Angkutan Umum" prompt="Angkutan umum utama di Desa beroperasi setiap hari_x000a_1: Ada, Trayek Tetap_x000a_2: Ada, Tanpa Trayek Tetap_x000a_3: Tidak Ada Angkutan Umum" sqref="G600" xr:uid="{00000000-0002-0000-0000-000018000000}">
      <formula1>"1,2,3"</formula1>
    </dataValidation>
    <dataValidation type="list" showInputMessage="1" showErrorMessage="1" promptTitle="Bumdesa" prompt="Terdapat BumDesa di Desa_x000a_0: Tidak Ada_x000a_1: Ada" sqref="G538" xr:uid="{00000000-0002-0000-0000-000019000000}">
      <formula1>"0,1"</formula1>
    </dataValidation>
    <dataValidation type="whole" operator="greaterThanOrEqual" showInputMessage="1" showErrorMessage="1" promptTitle="Koperasi aktif" prompt="Jumlah koperasi aktif beroperasi (unit)_x000a_" sqref="G537" xr:uid="{00000000-0002-0000-0000-00001A000000}">
      <formula1>0</formula1>
    </dataValidation>
    <dataValidation showInputMessage="1" showErrorMessage="1" promptTitle="Kredit Lainnya (sebutkan)" prompt="Terdapat fasilitas kredit lainnya (sebutkan)_x000a_" sqref="G535" xr:uid="{00000000-0002-0000-0000-00001B000000}"/>
    <dataValidation type="list" showInputMessage="1" showErrorMessage="1" promptTitle="BPR" prompt="Terdapat BPR di Desa_x000a_0: Tidak Ada_x000a_1: Ada" sqref="G530" xr:uid="{00000000-0002-0000-0000-00001C000000}">
      <formula1>"0,1"</formula1>
    </dataValidation>
    <dataValidation type="list" showInputMessage="1" showErrorMessage="1" promptTitle="KUR" prompt="Terdapat fasilitas kredit berupa Kredit Usaha Rakyat_x000a_0: Tidak Ada_x000a_1: Ada" sqref="G531" xr:uid="{00000000-0002-0000-0000-00001D000000}">
      <formula1>"0,1"</formula1>
    </dataValidation>
    <dataValidation type="list" showInputMessage="1" showErrorMessage="1" promptTitle="KKP-E" prompt="Terdapat fasilitas kredit berupa  Kredit Ketahanan Pangan dan Energi_x000a_0: Tidak Ada_x000a_1: Ada" sqref="G532" xr:uid="{00000000-0002-0000-0000-00001E000000}">
      <formula1>"0,1"</formula1>
    </dataValidation>
    <dataValidation type="list" showInputMessage="1" showErrorMessage="1" promptTitle="KUK" prompt="Terdapat fasilitas kredit berupa Kredit Usaha Kecil_x000a_0: Tidak Ada_x000a_1: Ada" sqref="G533" xr:uid="{00000000-0002-0000-0000-00001F000000}">
      <formula1>"0,1"</formula1>
    </dataValidation>
    <dataValidation type="list" showInputMessage="1" showErrorMessage="1" promptTitle="Kredit lainnya" prompt="Terdapat fasilitas kredit lainnya_x000a_0: Tidak Ada_x000a_1: Ada" sqref="G534" xr:uid="{00000000-0002-0000-0000-000020000000}">
      <formula1>"0,1"</formula1>
    </dataValidation>
    <dataValidation type="list" showInputMessage="1" showErrorMessage="1" promptTitle="Warung/Kedai" prompt="Terdapat warung/kedai makanan dan minuman di Desa_x000a_0 : Tidak Ada_x000a_1 : Ada" sqref="G512" xr:uid="{00000000-0002-0000-0000-000021000000}">
      <formula1>"0,1"</formula1>
    </dataValidation>
    <dataValidation type="list" showInputMessage="1" showErrorMessage="1" promptTitle="Hotel/Penginapan" prompt="Terdapat hotel atau penginapan di Desa_x000a_0 : Tidak Ada_x000a_1 : Ada" sqref="G513" xr:uid="{00000000-0002-0000-0000-000022000000}">
      <formula1>"0,1"</formula1>
    </dataValidation>
    <dataValidation type="list" showInputMessage="1" showErrorMessage="1" promptTitle="Tersedianya POS" prompt="Terdapat kantor pos / pos pembantu / rumah pos / pos keliling di Desa_x000a_0: Tidak Ada_x000a_1: Ada" sqref="G521" xr:uid="{00000000-0002-0000-0000-000023000000}">
      <formula1>"0,1"</formula1>
    </dataValidation>
    <dataValidation type="list" showInputMessage="1" showErrorMessage="1" promptTitle="Jasa Ekspedisi" prompt="Terdapat pelayanan jasa ekspedisi di Desa_x000a_0: Tidak Ada_x000a_1: Ada" sqref="G523" xr:uid="{00000000-0002-0000-0000-000024000000}">
      <formula1>"0,1"</formula1>
    </dataValidation>
    <dataValidation type="list" showInputMessage="1" showErrorMessage="1" promptTitle="Bank Pemerintah" prompt="Terdapat bank umum pemerintah di Desa_x000a_0: Tidak Ada_x000a_1: Ada" sqref="G526" xr:uid="{00000000-0002-0000-0000-000025000000}">
      <formula1>"0,1"</formula1>
    </dataValidation>
    <dataValidation type="list" showInputMessage="1" showErrorMessage="1" promptTitle="Bank Swasta" prompt="Terdapat bank swasta di Desa _x000a_0: Tidak Ada_x000a_1: Ada" sqref="G528" xr:uid="{00000000-0002-0000-0000-000026000000}">
      <formula1>"0,1"</formula1>
    </dataValidation>
    <dataValidation type="list" showInputMessage="1" showErrorMessage="1" promptTitle="Penghasilan" prompt="Sumber penghasilan utama penduduk Desa _x000a_1: Pertanian (termasuk Perkebunan, Peternakan, Perikanan)_x000a_2: Industri_x000a_3: Perdagangan, Transportasi, dan Jasa_x000a_4. Pariwisata_x000a_5. Lainnya" sqref="G483" xr:uid="{00000000-0002-0000-0000-000027000000}">
      <formula1>"1,2,3,4,5"</formula1>
    </dataValidation>
    <dataValidation type="list" showInputMessage="1" showErrorMessage="1" promptTitle="Produk Unggulan" prompt="Terdapat produk unggulan di Desa:_x000a_0 : Tidak Ada_x000a_1 : Ada" sqref="G484" xr:uid="{00000000-0002-0000-0000-000028000000}">
      <formula1>"0,1"</formula1>
    </dataValidation>
    <dataValidation type="list" allowBlank="1" showInputMessage="1" showErrorMessage="1" promptTitle="Perubahan Produk Pertanian" prompt="Perubahan produk komoditi pertanian_x000a_0: Ya, Terdapat Penurunan_x000a_1: Ya, Terdapat Peningkatan" sqref="G485" xr:uid="{00000000-0002-0000-0000-000029000000}">
      <formula1>"0,1"</formula1>
    </dataValidation>
    <dataValidation type="list" allowBlank="1" showInputMessage="1" showErrorMessage="1" promptTitle="Produk laut" prompt="Terdapat produksi hasil tangkapan laut:_x000a_0 : Tidak Ada_x000a_1 : Ada" sqref="G486" xr:uid="{00000000-0002-0000-0000-00002A000000}">
      <formula1>"0,1"</formula1>
    </dataValidation>
    <dataValidation type="list" allowBlank="1" showInputMessage="1" showErrorMessage="1" promptTitle="Perubahan Produk laut" prompt="Produksi produksi hasil tangkapan laut_x000a_0: Ya, Terdapat Penurunan_x000a_1: Ya, Terdapat Peningkatan" sqref="G487" xr:uid="{00000000-0002-0000-0000-00002B000000}">
      <formula1>"0,1"</formula1>
    </dataValidation>
    <dataValidation type="list" showInputMessage="1" showErrorMessage="1" promptTitle="Kelompok Pertokoan" prompt="Ketersediaan kelompok pertokoan di Desa:_x000a_0 : Tidak Ada_x000a_1 : Ada" sqref="G505" xr:uid="{00000000-0002-0000-0000-00002C000000}">
      <formula1>"0,1"</formula1>
    </dataValidation>
    <dataValidation type="decimal" operator="lessThanOrEqual" allowBlank="1" showInputMessage="1" showErrorMessage="1" promptTitle="Jarak ke Pertokoan (Km)" prompt="Jarak menuju kelompok pertokoan di Desa (dalam km)" sqref="G506" xr:uid="{00000000-0002-0000-0000-00002D000000}">
      <formula1>100000</formula1>
    </dataValidation>
    <dataValidation type="list" showInputMessage="1" showErrorMessage="1" promptTitle="Pasar Tanpa Bangunan" prompt="Terdapat pasar tanpa bangunan di Desa_x000a_0: Tidak Ada_x000a_1: Ada" sqref="G509" xr:uid="{00000000-0002-0000-0000-00002E000000}">
      <formula1>"0,1"</formula1>
    </dataValidation>
    <dataValidation type="list" showInputMessage="1" showErrorMessage="1" promptTitle="Sinyal" prompt="Sinyal telepon seluler / handphone di Desa_x000a_1: Sinyak Kuat_x000a_2: Sinyal Lemah_x000a_0: Tidak Ada Sinyal" sqref="G463" xr:uid="{00000000-0002-0000-0000-00002F000000}">
      <formula1>"0,1,2"</formula1>
    </dataValidation>
    <dataValidation type="list" showInputMessage="1" showErrorMessage="1" promptTitle="Telkomsel" prompt="Operator / provider telepon seluler Telkomsel dapat menerima sinyal_x000a_0: Tidak_x000a_1: Ya" sqref="G464" xr:uid="{00000000-0002-0000-0000-000030000000}">
      <formula1>"0,1"</formula1>
    </dataValidation>
    <dataValidation type="list" showInputMessage="1" showErrorMessage="1" promptTitle="Indosat" prompt="Operator / provider telepon seluler Indosat dapat menerima sinyal_x000a_0: Tidak_x000a_1: Ya" sqref="G465" xr:uid="{00000000-0002-0000-0000-000031000000}">
      <formula1>"0,1"</formula1>
    </dataValidation>
    <dataValidation type="list" showInputMessage="1" showErrorMessage="1" promptTitle="XL" prompt="Operator / provider telepon seluler XL dapat menerima sinyal_x000a_0: Tidak_x000a_1: Ya" sqref="G466" xr:uid="{00000000-0002-0000-0000-000032000000}">
      <formula1>"0,1"</formula1>
    </dataValidation>
    <dataValidation type="list" showInputMessage="1" showErrorMessage="1" promptTitle="Operator lainnya" prompt="Operator / provider telepon seluler lainnya dapat menerima sinyal_x000a_0: Tidak_x000a_1: Ya" sqref="G467" xr:uid="{00000000-0002-0000-0000-000033000000}">
      <formula1>"0,1"</formula1>
    </dataValidation>
    <dataValidation allowBlank="1" showInputMessage="1" showErrorMessage="1" promptTitle="Operator lainnya" prompt="Operator / provider telepon seluler lainnya dapat menerima sinyal (sebutkan)" sqref="G468" xr:uid="{00000000-0002-0000-0000-000034000000}"/>
    <dataValidation type="list" showInputMessage="1" showErrorMessage="1" promptTitle="Sarana informasi lainnya" prompt="Desa memiliki sarana informasi lainnya_x000a_0: Tidak_x000a_1: Ya" sqref="G476" xr:uid="{00000000-0002-0000-0000-000035000000}">
      <formula1>"0,1"</formula1>
    </dataValidation>
    <dataValidation type="list" showInputMessage="1" showErrorMessage="1" promptTitle="TVRI" prompt="Siaran program televisi saluran TVRI Nasional dan TVRI daerah_x000a_0: Tidak_x000a_1: Ya" sqref="G469" xr:uid="{00000000-0002-0000-0000-000036000000}">
      <formula1>"0,1"</formula1>
    </dataValidation>
    <dataValidation type="list" showInputMessage="1" showErrorMessage="1" promptTitle="TV swasta" prompt="Siaran program televisi saluran swasta_x000a_0: Tidak_x000a_1: Ya" sqref="G470" xr:uid="{00000000-0002-0000-0000-000037000000}">
      <formula1>"0,1"</formula1>
    </dataValidation>
    <dataValidation type="list" showInputMessage="1" showErrorMessage="1" promptTitle="TV Luar Negeri" prompt="Siaran program televisi saluran luar negeri_x000a_0: Tidak_x000a_1: Ya" sqref="G471" xr:uid="{00000000-0002-0000-0000-000038000000}">
      <formula1>"0,1"</formula1>
    </dataValidation>
    <dataValidation type="list" showInputMessage="1" showErrorMessage="1" promptTitle="Internet Kantor Desa" prompt="Terdapat fasilitas internet di kantor kepala Desa_x000a_0: Tidak_x000a_1: Ya" sqref="G472" xr:uid="{00000000-0002-0000-0000-000039000000}">
      <formula1>"0,1"</formula1>
    </dataValidation>
    <dataValidation type="list" showInputMessage="1" showErrorMessage="1" promptTitle="Akses Internet Warga" prompt="Warga Desa memiliki akses internet_x000a_0: Tidak_x000a_1: Ya" sqref="G473" xr:uid="{00000000-0002-0000-0000-00003A000000}">
      <formula1>"0,1"</formula1>
    </dataValidation>
    <dataValidation type="list" showInputMessage="1" showErrorMessage="1" promptTitle="Papan informasi" prompt="Desa memiliki Papan Informasi Terkait Desa_x000a_0: Tidak_x000a_1: Ya" sqref="G474" xr:uid="{00000000-0002-0000-0000-00003B000000}">
      <formula1>"0,1"</formula1>
    </dataValidation>
    <dataValidation type="list" showInputMessage="1" showErrorMessage="1" promptTitle="Website Desa" prompt="Desa Memiliki Sarana Informasi Website Desa_x000a_0: Tidak_x000a_1: Ya" sqref="G475" xr:uid="{00000000-0002-0000-0000-00003C000000}">
      <formula1>"0,1"</formula1>
    </dataValidation>
    <dataValidation allowBlank="1" showInputMessage="1" showErrorMessage="1" promptTitle="Sarana informasi lainnya" prompt="(sebutkan)" sqref="G477" xr:uid="{00000000-0002-0000-0000-00003D000000}"/>
    <dataValidation type="list" showInputMessage="1" showErrorMessage="1" promptTitle="Tempat Membuang Limbah Cair RT" prompt="Keterangan:_x000a_1 : Lubang resapan (Lubang tanah yang Tertutup)_x000a_2 : Drainase (Got/Selokan)_x000a_3 : Sungai/Saluran Irigasi/Danau/Laut_x000a_4: Lubang Tanah yang Terbuka_x000a_5: Lainnya " sqref="G444" xr:uid="{00000000-0002-0000-0000-00003E000000}">
      <formula1>"1,2,3,4,5"</formula1>
    </dataValidation>
    <dataValidation type="list" showInputMessage="1" showErrorMessage="1" promptTitle="Penampungan Sampah Sementara" prompt="Keterangan:_x000a_0 : Tidak Ada_x000a_1 : Ada" sqref="G443" xr:uid="{00000000-0002-0000-0000-00003F000000}">
      <formula1>"0,1"</formula1>
    </dataValidation>
    <dataValidation type="list" showInputMessage="1" showErrorMessage="1" promptTitle="Sebagian Warga Membuang Sampah" prompt="Keterangan:_x000a_1 : Tempat Sampah Kemudian Diangkut_x000a_2 : Dalam Lubang atau Dibakar_x000a_3 : Sungai/ Saluran Irigasi/ Danau/ Laut/ Got/ Selokan_x000a_4 : Lainnya" sqref="G442" xr:uid="{00000000-0002-0000-0000-000040000000}">
      <formula1>"1,2,3,4"</formula1>
    </dataValidation>
    <dataValidation type="list" allowBlank="1" showInputMessage="1" showErrorMessage="1" promptTitle="Sebagaian Besar Warga BAB" prompt="Keterangan:_x000a_1 : Jamban Sendiri_x000a_2 : Jamban Bersama_x000a_3 : Jamban Umum_x000a_4 : Bukan Jamban" sqref="G437" xr:uid="{00000000-0002-0000-0000-000041000000}">
      <formula1>"1,2,3,4"</formula1>
    </dataValidation>
    <dataValidation allowBlank="1" showInputMessage="1" showErrorMessage="1" promptTitle="Sumber air untuk mandi dan Cuci" prompt="Sumber Air Lainnya, Sebutkan" sqref="G435" xr:uid="{00000000-0002-0000-0000-000042000000}"/>
    <dataValidation type="list" showInputMessage="1" showErrorMessage="1" promptTitle="Cara Mendapatkan Air Minum" prompt="Keterangan:_x000a_0 : Membeli_x000a_1 : Gratis_x000a_" sqref="G426" xr:uid="{00000000-0002-0000-0000-000043000000}">
      <formula1>"0,1"</formula1>
    </dataValidation>
    <dataValidation type="list" allowBlank="1" showInputMessage="1" showErrorMessage="1" promptTitle="Adanya PMKS PSK" prompt="Keterangan:_x000a_0 : Tidak Ada_x000a_1 : Ada" sqref="G403" xr:uid="{00000000-0002-0000-0000-000044000000}">
      <formula1>"0,1"</formula1>
    </dataValidation>
    <dataValidation type="list" allowBlank="1" showInputMessage="1" showErrorMessage="1" promptTitle="Ketersediaan SLB" prompt="0: Tidak Ada_x000a_1: Ada" sqref="G386" xr:uid="{00000000-0002-0000-0000-000045000000}">
      <formula1>"0,1"</formula1>
    </dataValidation>
    <dataValidation type="list" showInputMessage="1" showErrorMessage="1" promptTitle="Tidak ada Mediator?" prompt="Keterangan:_x000a_0 : Tidak_x000a_1 : Ya" sqref="G373" xr:uid="{00000000-0002-0000-0000-000046000000}">
      <formula1>"0,1"</formula1>
    </dataValidation>
    <dataValidation type="list" showInputMessage="1" showErrorMessage="1" promptTitle="Penyelesaian konflik" prompt="Keterangan:_x000a_0 : Tidak_x000a_1 : Ya" sqref="G366" xr:uid="{00000000-0002-0000-0000-000047000000}">
      <formula1>"0,1"</formula1>
    </dataValidation>
    <dataValidation allowBlank="1" showInputMessage="1" showErrorMessage="1" promptTitle="Jenis Konflik" prompt="Jenis Konflik Lainnya, Sebutkan" sqref="G365" xr:uid="{00000000-0002-0000-0000-000048000000}"/>
    <dataValidation type="list" showInputMessage="1" showErrorMessage="1" promptTitle="Ada Tidaknya Konflik di Desa" prompt="Keterangan:_x000a_0 : Tidak Ada_x000a_1 : Ada" sqref="G356" xr:uid="{00000000-0002-0000-0000-000049000000}">
      <formula1>"0,1"</formula1>
    </dataValidation>
    <dataValidation type="list" showInputMessage="1" showErrorMessage="1" promptTitle="Terdapat Kelompok Seni adat?" prompt="Keterangan:_x000a_0 : Tidak Ada_x000a_1 : Ada" sqref="G345" xr:uid="{00000000-0002-0000-0000-00004A000000}">
      <formula1>"0,1"</formula1>
    </dataValidation>
    <dataValidation type="list" showInputMessage="1" showErrorMessage="1" promptTitle="Mayoritas Agama?" prompt="Keterangan:_x000a_1 : Islam_x000a_2 : Kristen_x000a_3 : Katolik_x000a_4 : Budha_x000a_5 : Hindu_x000a_6 : Konghucu_x000a_7 : Lainnya" sqref="G344" xr:uid="{00000000-0002-0000-0000-00004B000000}">
      <formula1>"1,2,3,4,5,6,7"</formula1>
    </dataValidation>
    <dataValidation type="list" operator="lessThanOrEqual" showInputMessage="1" showErrorMessage="1" promptTitle="Terdapat Litang/ Kelenteng" prompt="Keterangan:_x000a_0 : Tidak Ada_x000a_1 : Ada" sqref="G343" xr:uid="{00000000-0002-0000-0000-00004C000000}">
      <formula1>"0,1"</formula1>
    </dataValidation>
    <dataValidation type="list" showInputMessage="1" showErrorMessage="1" promptTitle="Adanya Warga Beragama Lainnya" prompt="Keterangan:_x000a_0 : Tidak Ada_x000a_1 : Ada" sqref="G336" xr:uid="{00000000-0002-0000-0000-00004D000000}">
      <formula1>"0,1"</formula1>
    </dataValidation>
    <dataValidation type="list" showInputMessage="1" showErrorMessage="1" promptTitle="Terdapat Kelompok Olahraga" prompt="Keterangan:_x000a_0 : Tidak Ada_x000a_1 : Ada" sqref="G326" xr:uid="{00000000-0002-0000-0000-00004E000000}">
      <formula1>"0,1"</formula1>
    </dataValidation>
    <dataValidation type="list" showInputMessage="1" showErrorMessage="1" promptTitle="Tdpt Kel. Perempuan Ikut Musdes?" prompt="Keterangan:_x000a_0 : Tidak Ada_x000a_1 : Ada" sqref="G316" xr:uid="{00000000-0002-0000-0000-00004F000000}">
      <formula1>"0,1"</formula1>
    </dataValidation>
    <dataValidation type="list" allowBlank="1" showInputMessage="1" showErrorMessage="1" promptTitle="ada tidaknya Musyawarah Desa" prompt="Keterangan:_x000a_0 : Tidak Ada_x000a_1 : Ada" sqref="G314" xr:uid="{00000000-0002-0000-0000-000050000000}">
      <formula1>"0,1"</formula1>
    </dataValidation>
    <dataValidation type="list" operator="lessThanOrEqual" showInputMessage="1" showErrorMessage="1" promptTitle="Tdpt Lembaga/Organisasi Lainnya?" prompt="Keterangan:_x000a_0 : Tidak Ada_x000a_1 : Ada" sqref="G311" xr:uid="{00000000-0002-0000-0000-000051000000}">
      <formula1>"0,1"</formula1>
    </dataValidation>
    <dataValidation type="list" operator="lessThanOrEqual" showInputMessage="1" showErrorMessage="1" promptTitle="Tdpt Lembaga/Organisasi Wanita?" prompt="Keterangan:_x000a_0 : Tidak Ada_x000a_1 : Ada" sqref="G309" xr:uid="{00000000-0002-0000-0000-000052000000}">
      <formula1>"0,1"</formula1>
    </dataValidation>
    <dataValidation type="list" showInputMessage="1" showErrorMessage="1" promptTitle="Tdpt Lembaga/Kelompok Pengrajin?" prompt="Keterangan:_x000a_0 : Tidak Ada_x000a_1 : Ada" sqref="G307" xr:uid="{00000000-0002-0000-0000-000053000000}">
      <formula1>"0,1"</formula1>
    </dataValidation>
    <dataValidation type="list" showInputMessage="1" showErrorMessage="1" promptTitle="Terdapat Kelompok Peternakan?" prompt="Keterangan:_x000a_0 : Tidak Ada_x000a_1 : Ada" sqref="G305" xr:uid="{00000000-0002-0000-0000-000054000000}">
      <formula1>"0,1"</formula1>
    </dataValidation>
    <dataValidation type="list" showInputMessage="1" showErrorMessage="1" promptTitle="Terdapat Kelmpk Lembaga Nelayan?" prompt="Keterangan:_x000a_0 : Tidak Ada_x000a_1 : Ada" sqref="G303" xr:uid="{00000000-0002-0000-0000-000055000000}">
      <formula1>"0,1"</formula1>
    </dataValidation>
    <dataValidation type="list" allowBlank="1" showInputMessage="1" showErrorMessage="1" promptTitle="Terdapat Kelompok Lembaga Tani?" prompt="Keterangan: _x000a_0 : Tidak Ada_x000a_1 : Ada" sqref="G301" xr:uid="{00000000-0002-0000-0000-000056000000}">
      <formula1>"0,1"</formula1>
    </dataValidation>
    <dataValidation type="list" showInputMessage="1" showErrorMessage="1" promptTitle="Terdapat Kelompok Arisan?" prompt="Keterangan:_x000a_0 : Tidak Ada_x000a_1 : Ada" sqref="G299" xr:uid="{00000000-0002-0000-0000-000057000000}">
      <formula1>"0,1"</formula1>
    </dataValidation>
    <dataValidation type="list" showInputMessage="1" showErrorMessage="1" promptTitle="Terdapat Panti Asuhan?" prompt="Keterangan:_x000a_0 : Tidak Ada_x000a_1 : Ada" sqref="G297" xr:uid="{00000000-0002-0000-0000-000058000000}">
      <formula1>"0,1"</formula1>
    </dataValidation>
    <dataValidation type="list" allowBlank="1" showInputMessage="1" showErrorMessage="1" promptTitle="Terdapat Organisasi Agama?" prompt="Keterangan:_x000a_0 : Tidak Ada_x000a_1 : Ada" sqref="G295" xr:uid="{00000000-0002-0000-0000-000059000000}">
      <formula1>"0,1"</formula1>
    </dataValidation>
    <dataValidation type="list" showInputMessage="1" showErrorMessage="1" promptTitle="Ada tidaknya PKK?" prompt="Keterangan: _x000a_0 : Tidak Ada_x000a_1 : Ada " sqref="G293" xr:uid="{00000000-0002-0000-0000-00005A000000}">
      <formula1>"0,1"</formula1>
    </dataValidation>
    <dataValidation type="list" showInputMessage="1" showErrorMessage="1" promptTitle="Ada Tidaknya Karang Taruna" prompt="Keterangan:_x000a_0 : Tidak Ada_x000a_1 : Ada" sqref="G291" xr:uid="{00000000-0002-0000-0000-00005B000000}">
      <formula1>"0,1"</formula1>
    </dataValidation>
    <dataValidation type="list" showInputMessage="1" showErrorMessage="1" promptTitle="Ketersedian Ruang Publik di Desa" prompt="Keterangan:_x000a_0 : Tidak Ada_x000a_1 : Ada" sqref="G289" xr:uid="{00000000-0002-0000-0000-00005C000000}">
      <formula1>"0,1"</formula1>
    </dataValidation>
    <dataValidation type="list" showInputMessage="1" showErrorMessage="1" promptTitle="Ada Tidaknya" prompt="Keterangan:_x000a_0 : Tidak Ada_x000a_1 : Ada" sqref="G285" xr:uid="{00000000-0002-0000-0000-00005D000000}">
      <formula1>"0,1"</formula1>
    </dataValidation>
    <dataValidation type="list" showInputMessage="1" showErrorMessage="1" promptTitle="Ada tidaknya PKBM paket a/b/c" prompt="Keterangan:_x000a_0 : Tidak Ada_x000a_1 : Ada" sqref="G279" xr:uid="{00000000-0002-0000-0000-00005E000000}">
      <formula1>"0,1"</formula1>
    </dataValidation>
    <dataValidation type="list" showInputMessage="1" showErrorMessage="1" promptTitle="Ketersediaan Pos PAUD" prompt="Keterangan:_x000a_0 : Tidak Ada_x000a_1 : Ada" sqref="G273" xr:uid="{00000000-0002-0000-0000-00005F000000}">
      <formula1>"0,1"</formula1>
    </dataValidation>
    <dataValidation type="list" showInputMessage="1" showErrorMessage="1" promptTitle="Usia SMP Putus/ Tidak Sekolah" prompt="Keterangan:_x000a_0 : Tidak Ada_x000a_1 : Ada" sqref="G270" xr:uid="{00000000-0002-0000-0000-000060000000}">
      <formula1>"0,1"</formula1>
    </dataValidation>
    <dataValidation type="list" allowBlank="1" showInputMessage="1" showErrorMessage="1" promptTitle="Anak Usia SD Putus/Tidak Sekolah" prompt="Keterangan:_x000a_0 : Tidak Ada_x000a_1 : Ada" sqref="G268" xr:uid="{00000000-0002-0000-0000-000061000000}">
      <formula1>"0,1"</formula1>
    </dataValidation>
    <dataValidation type="list" showInputMessage="1" showErrorMessage="1" promptTitle="ada Kejadian Luar Biasa Penyakit" prompt="Keterangan:_x000a_0 : Tidak Ada_x000a_1 : Ada" sqref="G204" xr:uid="{00000000-0002-0000-0000-000062000000}">
      <formula1>"0,1"</formula1>
    </dataValidation>
    <dataValidation type="list" allowBlank="1" showInputMessage="1" showErrorMessage="1" promptTitle="Terdapat Balita Gizi Buruk?" prompt="Keterangan: _x000a_0 : Tidak Ada_x000a_1 : Ada" sqref="G202" xr:uid="{00000000-0002-0000-0000-000063000000}">
      <formula1>"0,1"</formula1>
    </dataValidation>
    <dataValidation type="list" allowBlank="1" showInputMessage="1" showErrorMessage="1" promptTitle="ada tidaknya kematian bayi" prompt="Keterangan:_x000a_0 : Tidak Ada_x000a_1 : Ada" sqref="G200" xr:uid="{00000000-0002-0000-0000-000064000000}">
      <formula1>"0,1"</formula1>
    </dataValidation>
    <dataValidation type="list" allowBlank="1" showInputMessage="1" showErrorMessage="1" promptTitle="Kematian Balita di Desa" prompt="Keterangan_x000a_0 : Tidak Ada_x000a_1 : Ada" sqref="G198" xr:uid="{00000000-0002-0000-0000-000065000000}">
      <formula1>"0,1"</formula1>
    </dataValidation>
    <dataValidation type="list" showInputMessage="1" showErrorMessage="1" promptTitle="Aada Tidaknya AKI" prompt="Keterangan:_x000a_0 : Tidak Ada_x000a_1 : Ada_x000a_" sqref="G196" xr:uid="{00000000-0002-0000-0000-000066000000}">
      <formula1>"0,1"</formula1>
    </dataValidation>
    <dataValidation type="list" showInputMessage="1" showErrorMessage="1" promptTitle="Pemanfaatan BPJS" prompt="Keterangan:_x000a_0: Tidak Ada_x000a_1: Ya, Sebagian Besar_x000a_2: Ya, Sebagian Kecil_x000a_" sqref="G193" xr:uid="{00000000-0002-0000-0000-000067000000}">
      <formula1>"0,1,2"</formula1>
    </dataValidation>
    <dataValidation type="list" allowBlank="1" showInputMessage="1" showErrorMessage="1" promptTitle="Rumah Singgah untuk Ibu Hamil" prompt="0: Tidak Ada_x000a_1: Ada" sqref="G185" xr:uid="{00000000-0002-0000-0000-000068000000}">
      <formula1>"0,1"</formula1>
    </dataValidation>
    <dataValidation type="list" allowBlank="1" showInputMessage="1" showErrorMessage="1" promptTitle="Fungsi Poskesdes/Polindes" prompt="0: Tidak Berfungsi/ Tidak Aktif_x000a_1: Berfungsi/ Aktif" sqref="G184" xr:uid="{00000000-0002-0000-0000-000069000000}">
      <formula1>"0,1"</formula1>
    </dataValidation>
    <dataValidation type="list" showInputMessage="1" showErrorMessage="1" errorTitle="Input Salah" error="Diisi angka 0 atau 1" promptTitle="Ketersediaan Bidan" prompt="0: Tidak Ada_x000a_1: Ada" sqref="G172" xr:uid="{00000000-0002-0000-0000-00006A000000}">
      <formula1>"0,1"</formula1>
    </dataValidation>
    <dataValidation type="whole" operator="lessThanOrEqual" allowBlank="1" showInputMessage="1" showErrorMessage="1" promptTitle="Waktu Tempuh" prompt="Dalam Menit" sqref="G171" xr:uid="{00000000-0002-0000-0000-00006B000000}">
      <formula1>100000</formula1>
    </dataValidation>
    <dataValidation type="list" showInputMessage="1" showErrorMessage="1" promptTitle="Sarkes Terdekat" prompt="1: Rumah Sakit Umum_x000a_2: Rumah Sakit Ibu dan Anak_x000a_3: Rumah Bersalin_x000a_4: Puskesmas_x000a_5: Pustu_x000a_6: Poskesdes_x000a_7: Polindes_x000a_8: Tempat Praktik Dokter_x000a_9: Klinik Dokter" sqref="G128" xr:uid="{00000000-0002-0000-0000-00006C000000}">
      <formula1>"1,2,3,4,5,6,7,8,9"</formula1>
    </dataValidation>
    <dataValidation type="list" allowBlank="1" showInputMessage="1" showErrorMessage="1" promptTitle="Jenis Kelamin Plt/ Kelapa Desa" prompt="1. Laki- Laki_x000a_2. Perempuan" sqref="G29" xr:uid="{00000000-0002-0000-0000-00006D000000}">
      <formula1>"1, 2"</formula1>
    </dataValidation>
    <dataValidation type="list" allowBlank="1" showInputMessage="1" showErrorMessage="1" promptTitle="Pendidikan T'akhir Plt/ Kades" prompt="0. Tidak Pernah Sekolah_x000a_1. Tamat S3_x000a_2. Tamat S2_x000a_3. Tamat S1/DIV_x000a_4. Tamat Akademi DIII_x000a_5. Tamat SLTA/ Sederajat_x000a_6. Tamat SLTP/ Sederajat_x000a_7. Tamat SD/ Sederajat_x000a_8. Tidak Tamat SD/sederajat" sqref="G37" xr:uid="{00000000-0002-0000-0000-00006E000000}">
      <formula1>"0,1, 2, 3, 4, 5,6,7,8"</formula1>
    </dataValidation>
    <dataValidation type="list" allowBlank="1" showInputMessage="1" showErrorMessage="1" promptTitle="Jenis Wilayah Desa" prompt="1. Dataran Rendah_x000a_2. Dataran Tinggi/ Pegunungan_x000a_3. Kepulauan_x000a_4. Pesisir" sqref="G75" xr:uid="{00000000-0002-0000-0000-00006F000000}">
      <formula1>"1, 2, 3,4"</formula1>
    </dataValidation>
    <dataValidation type="list" allowBlank="1" showInputMessage="1" showErrorMessage="1" promptTitle="Ketersidaan Dokter di Desa" prompt="0: Tidak Ada_x000a_1: Ada" sqref="G175" xr:uid="{00000000-0002-0000-0000-000070000000}">
      <formula1>"0,1"</formula1>
    </dataValidation>
    <dataValidation type="list" allowBlank="1" showInputMessage="1" showErrorMessage="1" promptTitle="Ketersediaan Tenaga Kesehatan" prompt="0: Tidak Ada_x000a_1: Ada" sqref="G178" xr:uid="{00000000-0002-0000-0000-000071000000}">
      <formula1>"0,1"</formula1>
    </dataValidation>
    <dataValidation type="list" allowBlank="1" showInputMessage="1" showErrorMessage="1" promptTitle="Ketersediaan Poskesede/Polindes" prompt="0: Tidak Ada_x000a_1: Ada" sqref="G181" xr:uid="{00000000-0002-0000-0000-000072000000}">
      <formula1>"0,1"</formula1>
    </dataValidation>
    <dataValidation type="list" allowBlank="1" showInputMessage="1" showErrorMessage="1" promptTitle="Partisipasi Warga di Posyandu" prompt="0: Tidak Aktif_x000a_1: Aktif" sqref="G189" xr:uid="{00000000-0002-0000-0000-000073000000}">
      <formula1>"0,1"</formula1>
    </dataValidation>
    <dataValidation type="list" showInputMessage="1" showErrorMessage="1" promptTitle="Pembiayaan Posyandu" prompt="1: Iuran Bulanan Masyarakat_x000a_2: APBDes_x000a_3: Iuran Bulanan Masyarakat dan APBDes_x000a_4: Lainnya" sqref="G190" xr:uid="{00000000-0002-0000-0000-000074000000}">
      <formula1>"1,2,3,4"</formula1>
    </dataValidation>
    <dataValidation type="list" showInputMessage="1" showErrorMessage="1" promptTitle="Tingkat Pendidikan" prompt="Keterangan:_x000a_0: Tidak Sekolah_x000a_1 : Tamat Sarjana/D1/D3/Sederajat_x000a_2 : Tamat SMA/Sederajat_x000a_3 : Tamat SMP/Sederajat_x000a_4 : Tamat SD/Sederajat_x000a_5: Tidak Tamat SD" sqref="G267" xr:uid="{00000000-0002-0000-0000-000075000000}">
      <formula1>"0,1,2,3,4,5"</formula1>
    </dataValidation>
    <dataValidation type="whole" operator="lessThanOrEqual" allowBlank="1" showInputMessage="1" showErrorMessage="1" promptTitle="Jumlah Fasilitas Olahraga" prompt="Diinput dengan Angka" sqref="G317" xr:uid="{00000000-0002-0000-0000-000076000000}">
      <formula1>10</formula1>
    </dataValidation>
    <dataValidation type="whole" operator="greaterThanOrEqual" allowBlank="1" showInputMessage="1" showErrorMessage="1" promptTitle="Jumlah Bunuh Diri di Desa" prompt="Input dengan Angka" sqref="G404" xr:uid="{00000000-0002-0000-0000-000077000000}">
      <formula1>0</formula1>
    </dataValidation>
    <dataValidation type="list" allowBlank="1" showInputMessage="1" showErrorMessage="1" promptTitle="Jam Operasional Angkot" prompt="Jam operasional angkutan umum utama_x000a_0: Tidak Ada_x000a_1: Siang &amp; malam hari_x000a_2: Hanya siang hari" sqref="G602" xr:uid="{00000000-0002-0000-0000-000078000000}">
      <formula1>"0,1,2"</formula1>
    </dataValidation>
    <dataValidation allowBlank="1" showInputMessage="1" showErrorMessage="1" promptTitle="Tanggal" prompt="DD/MM/YYYY" sqref="G7 G13" xr:uid="{00000000-0002-0000-0000-000079000000}"/>
    <dataValidation type="list" allowBlank="1" showInputMessage="1" showErrorMessage="1" promptTitle="Jenis Kelamin Informan" prompt="1. Laki- Laki_x000a_2. Perempuan" sqref="G14" xr:uid="{00000000-0002-0000-0000-00007A000000}">
      <formula1>"1, 2"</formula1>
    </dataValidation>
    <dataValidation allowBlank="1" showInputMessage="1" showErrorMessage="1" prompt="Permendagri No.137 Tahun 2017" sqref="G15:G22" xr:uid="{00000000-0002-0000-0000-00007B000000}"/>
    <dataValidation allowBlank="1" showInputMessage="1" showErrorMessage="1" promptTitle="Nama Petugas yang Mendata IDM" prompt=" " sqref="G6" xr:uid="{00000000-0002-0000-0000-00007C000000}"/>
    <dataValidation allowBlank="1" showInputMessage="1" showErrorMessage="1" promptTitle="Koordinat Desa Longitude (BB/BT)" prompt="Dapat di Cek Melalui:_x000a_www.latlong.net_x000a_atau _x000a_Foto Geotagging" sqref="G24" xr:uid="{00000000-0002-0000-0000-00007D000000}"/>
    <dataValidation allowBlank="1" showInputMessage="1" showErrorMessage="1" promptTitle="Alamat Kantor Desa" prompt="Alamat Lengkap Kantor Desa" sqref="G25" xr:uid="{00000000-0002-0000-0000-00007E000000}"/>
    <dataValidation allowBlank="1" showInputMessage="1" showErrorMessage="1" prompt="Alamat Email Aktif Kantor Desa" sqref="G32" xr:uid="{00000000-0002-0000-0000-00007F000000}"/>
    <dataValidation allowBlank="1" showInputMessage="1" showErrorMessage="1" prompt="Tahun dan Bulan" sqref="G38 G40" xr:uid="{00000000-0002-0000-0000-000080000000}"/>
    <dataValidation operator="greaterThanOrEqual" allowBlank="1" showInputMessage="1" showErrorMessage="1" promptTitle="No Telp Plt/ Kades" prompt="No Telp/ HP Aktif" sqref="G30" xr:uid="{00000000-0002-0000-0000-000081000000}"/>
    <dataValidation allowBlank="1" showInputMessage="1" showErrorMessage="1" prompt="No Telp Kantor Desa Aktif" sqref="G31" xr:uid="{00000000-0002-0000-0000-000082000000}"/>
    <dataValidation allowBlank="1" showInputMessage="1" showErrorMessage="1" promptTitle="Nama Plt/ Kades" prompt="Nama Lengkap Plt/ Kepala Desa" sqref="G28" xr:uid="{00000000-0002-0000-0000-000083000000}"/>
    <dataValidation operator="lessThanOrEqual" allowBlank="1" showInputMessage="1" showErrorMessage="1" prompt="Nama Penyakit Penyebab Kejadian Luar Biasa" sqref="G205" xr:uid="{00000000-0002-0000-0000-000084000000}"/>
    <dataValidation allowBlank="1" showInputMessage="1" showErrorMessage="1" promptTitle=" " prompt="Agama Lainnya Selain yang Disebutkan" sqref="G337" xr:uid="{00000000-0002-0000-0000-000085000000}"/>
    <dataValidation allowBlank="1" showInputMessage="1" showErrorMessage="1" prompt="Hari Besar Perayaan Adat Lainnya selain Disebutkan" sqref="G352" xr:uid="{00000000-0002-0000-0000-000086000000}"/>
    <dataValidation allowBlank="1" showInputMessage="1" showErrorMessage="1" promptTitle="Peran Tokoh Lainnya" prompt="Mediator Lainnya, Sebutkan" sqref="G372" xr:uid="{00000000-0002-0000-0000-000087000000}"/>
    <dataValidation type="list" allowBlank="1" showInputMessage="1" showErrorMessage="1" promptTitle="Kejahatan Paling Sering Terjadi" prompt="0  : Tidak Terjadi Kejahatan_x000a_a1: Pencurian_x000a_a2: Penipuan/ Penggelapan_x000a_a3: Penganiayaan_x000a_a4: Pembakaran_x000a_a5: Perkosaan_x000a_a6: Narkoba_x000a_a7: Perjudian_x000a_a8: Pembunuhan_x000a_a9: Perdagangan Orang" sqref="G384" xr:uid="{00000000-0002-0000-0000-000088000000}">
      <formula1>"0,a1,a2,a3,a4,a5,a6,a7,a8,a9"</formula1>
    </dataValidation>
    <dataValidation type="list" showInputMessage="1" showErrorMessage="1" promptTitle="Sumber Air untuk Mandi dan Cuci" prompt="Sumber Air Ledeng dengan Meteran (PAM/PDAM)_x000a_Keterangan_x000a_0 : Tidak_x000a_1 : Ya" sqref="G427" xr:uid="{00000000-0002-0000-0000-000089000000}">
      <formula1>"0,1"</formula1>
    </dataValidation>
    <dataValidation type="list" showInputMessage="1" showErrorMessage="1" promptTitle="Sumber Air untuk Mandi dan Cuci" prompt="Sumber Air Ledeng dengan Tanpa Meteran (PAM/PDAM)_x000a_Keterangan_x000a_0 : Tidak_x000a_1 : Ya" sqref="G428" xr:uid="{00000000-0002-0000-0000-00008A000000}">
      <formula1>"0,1"</formula1>
    </dataValidation>
    <dataValidation type="list" showInputMessage="1" showErrorMessage="1" promptTitle="Sumber Air untuk Mandi dan Cuci" prompt="Sumber Air Sumur Bor/ Pompa_x000a_Keterangan_x000a_0 : Tidak_x000a_1 : Ya" sqref="G429" xr:uid="{00000000-0002-0000-0000-00008B000000}">
      <formula1>"0,1"</formula1>
    </dataValidation>
    <dataValidation type="list" showInputMessage="1" showErrorMessage="1" promptTitle="Sumber Air untuk Mandi dan Cuci" prompt="Sumber Air Sumur_x000a_Keterangan_x000a_0 : Tidak_x000a_1 : Ya" sqref="G430" xr:uid="{00000000-0002-0000-0000-00008C000000}">
      <formula1>"0,1"</formula1>
    </dataValidation>
    <dataValidation type="list" showInputMessage="1" showErrorMessage="1" promptTitle="Sumber Air untuk Mandi dan Cuci" prompt="Sumber Mata Air_x000a_Keterangan_x000a_0 : Tidak_x000a_1 : Ya" sqref="G431" xr:uid="{00000000-0002-0000-0000-00008D000000}">
      <formula1>"0,1"</formula1>
    </dataValidation>
    <dataValidation type="list" showInputMessage="1" showErrorMessage="1" promptTitle="Sumber Air untuk Mandi dan Cuci" prompt="Air Sungai/ Danau/ Kolam_x000a_Keterangan_x000a_0 : Tidak_x000a_1 : Ya" sqref="G432" xr:uid="{00000000-0002-0000-0000-00008E000000}">
      <formula1>"0,1"</formula1>
    </dataValidation>
    <dataValidation type="list" showInputMessage="1" showErrorMessage="1" promptTitle="Sumber Air untuk Mandi dan Cuci" prompt="Sumber Air Hujan_x000a_Keterangan_x000a_0 : Tidak_x000a_1 : Ya" sqref="G433" xr:uid="{00000000-0002-0000-0000-00008F000000}">
      <formula1>"0,1"</formula1>
    </dataValidation>
    <dataValidation type="list" showInputMessage="1" showErrorMessage="1" promptTitle="Sumber Air untuk Mandi dan Cuci" prompt="Sumber Air Lainnya_x000a_Keterangan_x000a_0 : Tidak_x000a_1 : Ya" sqref="G434" xr:uid="{00000000-0002-0000-0000-000090000000}">
      <formula1>"0,1"</formula1>
    </dataValidation>
    <dataValidation type="list" operator="greaterThanOrEqual" allowBlank="1" showInputMessage="1" showErrorMessage="1" promptTitle="Info APBDes (Lainnya)" prompt="0: Tidak_x000a_1: Ya" sqref="G669" xr:uid="{00000000-0002-0000-0000-000091000000}">
      <formula1>"0,1"</formula1>
    </dataValidation>
    <dataValidation allowBlank="1" showInputMessage="1" showErrorMessage="1" promptTitle="Sumber Pendapatan Desa 2019-2020" prompt="Total PAD Tahun 2020" sqref="G641" xr:uid="{00000000-0002-0000-0000-000092000000}"/>
    <dataValidation allowBlank="1" showInputMessage="1" showErrorMessage="1" promptTitle="Sumber Pendapatan Desa 2019-2020" prompt="Total PAD Tahun 2019" sqref="G642" xr:uid="{00000000-0002-0000-0000-000093000000}"/>
    <dataValidation allowBlank="1" showInputMessage="1" showErrorMessage="1" promptTitle="Sumber Pendapatan Desa 2019-2020" prompt="Total Dana Desa (DD) Tahun 2020" sqref="G643" xr:uid="{00000000-0002-0000-0000-000094000000}"/>
    <dataValidation allowBlank="1" showInputMessage="1" showErrorMessage="1" promptTitle="Sumber Pendapatan Desa 2019-2020" prompt="Total Dana Desa (DD) Tahun 2019" sqref="G644" xr:uid="{00000000-0002-0000-0000-000095000000}"/>
    <dataValidation allowBlank="1" showInputMessage="1" showErrorMessage="1" promptTitle="Sumber Pendapatan Desa 2019-2020" prompt="Total Bagi Hasil Pajak &amp; Retribusi Daerah 2020" sqref="G645" xr:uid="{00000000-0002-0000-0000-000096000000}"/>
    <dataValidation allowBlank="1" showInputMessage="1" showErrorMessage="1" promptTitle="Sumber Pendapatan Desa 2019-2020" prompt="Total Bagi Hasil Pajak &amp; Retribusi Daerah 2019" sqref="G646" xr:uid="{00000000-0002-0000-0000-000097000000}"/>
    <dataValidation allowBlank="1" showInputMessage="1" showErrorMessage="1" promptTitle="Sumber Pendapatan Desa 2019-2020" prompt="Total Alokasi DD Tahun 2020" sqref="G647" xr:uid="{00000000-0002-0000-0000-000098000000}"/>
    <dataValidation allowBlank="1" showInputMessage="1" showErrorMessage="1" promptTitle="Sumber Pendapatan Desa 2019-2020" prompt="Total Alokasi DD Tahun 2019" sqref="G648" xr:uid="{00000000-0002-0000-0000-000099000000}"/>
    <dataValidation allowBlank="1" showInputMessage="1" showErrorMessage="1" promptTitle="Sumber Pendapatan Desa 2019-2020" prompt="Total Bantuan Provinsi Tahun 2020" sqref="G649" xr:uid="{00000000-0002-0000-0000-00009A000000}"/>
    <dataValidation allowBlank="1" showInputMessage="1" showErrorMessage="1" promptTitle="Sumber Pendapatan Desa 2019-2020" prompt="Total Bantuan Provinsi Tahun 2019" sqref="G650" xr:uid="{00000000-0002-0000-0000-00009B000000}"/>
    <dataValidation allowBlank="1" showInputMessage="1" showErrorMessage="1" promptTitle="Sumber Pendapatan Desa 2019-2020" prompt="Total Bantuan Kabupaten/Kota Tahun 2020" sqref="G651" xr:uid="{00000000-0002-0000-0000-00009C000000}"/>
    <dataValidation allowBlank="1" showInputMessage="1" showErrorMessage="1" promptTitle="Sumber Pendapatan Desa 2019-2020" prompt="Total Bantuan Kabupaten/Kota Tahun 2019" sqref="G652" xr:uid="{00000000-0002-0000-0000-00009D000000}"/>
    <dataValidation allowBlank="1" showInputMessage="1" showErrorMessage="1" promptTitle="Sumber Pendapatan Desa 2019-2020" prompt="Total Sumber Pendapatan Lainnya Tahun 2020" sqref="G653" xr:uid="{00000000-0002-0000-0000-00009E000000}"/>
    <dataValidation allowBlank="1" showInputMessage="1" showErrorMessage="1" promptTitle="Sumber Pendapatan Desa 2019-2020" prompt="Total Sumber Pendapatan Lainnya Tahun 2019" sqref="G654" xr:uid="{00000000-0002-0000-0000-00009F000000}"/>
    <dataValidation type="whole" operator="greaterThanOrEqual" allowBlank="1" showInputMessage="1" showErrorMessage="1" promptTitle="Bid Penyelenggaraan PemDes 2019" prompt="Total Belanja Bidang Penyelenggaraan Pemerintah Tahun 2019" sqref="G672" xr:uid="{00000000-0002-0000-0000-0000A0000000}">
      <formula1>0</formula1>
    </dataValidation>
    <dataValidation allowBlank="1" showInputMessage="1" showErrorMessage="1" promptTitle="Jumlah Total Penduduk Tahun 2019" prompt=" " sqref="G78" xr:uid="{00000000-0002-0000-0000-0000A1000000}"/>
    <dataValidation type="list" showInputMessage="1" showErrorMessage="1" promptTitle="Pemberantasan Buta Aksara" prompt="Keterangan:_x000a_0 : Tidak Ada_x000a_1 : Ada" sqref="G282" xr:uid="{00000000-0002-0000-0000-0000A2000000}">
      <formula1>"0,1"</formula1>
    </dataValidation>
    <dataValidation type="list" showInputMessage="1" showErrorMessage="1" promptTitle="Ada Tidaknya Taman Baca/ Perpus" prompt="Keterangan:_x000a_0 : Tidak Ada_x000a_1 : Ada" sqref="G284" xr:uid="{00000000-0002-0000-0000-0000A3000000}">
      <formula1>"0,1"</formula1>
    </dataValidation>
    <dataValidation type="whole" operator="lessThanOrEqual" allowBlank="1" showInputMessage="1" showErrorMessage="1" promptTitle="Jumlah Bahasa Sehari-hari" prompt=" " sqref="G329" xr:uid="{00000000-0002-0000-0000-0000A4000000}">
      <formula1>10</formula1>
    </dataValidation>
    <dataValidation type="whole" operator="lessThanOrEqual" allowBlank="1" showInputMessage="1" showErrorMessage="1" promptTitle="Jumlah Suku Di Desa" prompt=" " sqref="G328" xr:uid="{00000000-0002-0000-0000-0000A5000000}">
      <formula1>10</formula1>
    </dataValidation>
    <dataValidation type="list" allowBlank="1" showInputMessage="1" showErrorMessage="1" promptTitle="Adanya PMKS Anak Jalanan" prompt="Keterangan:_x000a_0 : Tidak Ada_x000a_1 : Ada" sqref="G396" xr:uid="{00000000-0002-0000-0000-0000A6000000}">
      <formula1>"0,1"</formula1>
    </dataValidation>
    <dataValidation type="list" allowBlank="1" showInputMessage="1" showErrorMessage="1" promptTitle="Adanya PMKS Anak Terlantar" prompt="Keterangan:_x000a_0 : Tidak Ada_x000a_1 : Ada" sqref="G397" xr:uid="{00000000-0002-0000-0000-0000A7000000}">
      <formula1>"0,1"</formula1>
    </dataValidation>
    <dataValidation type="list" allowBlank="1" showInputMessage="1" showErrorMessage="1" promptTitle="Adanya PMKS Korban Kekeras" prompt="Keterangan:_x000a_0 : Tidak Ada_x000a_1 : Ada" sqref="G398" xr:uid="{00000000-0002-0000-0000-0000A8000000}">
      <formula1>"0,1"</formula1>
    </dataValidation>
    <dataValidation type="list" allowBlank="1" showInputMessage="1" showErrorMessage="1" promptTitle="Adanya PMKS Lanjut Usia Trlantar" prompt="Keterangan:_x000a_0 : Tidak Ada_x000a_1 : Ada" sqref="G399" xr:uid="{00000000-0002-0000-0000-0000A9000000}">
      <formula1>"0,1"</formula1>
    </dataValidation>
    <dataValidation type="list" allowBlank="1" showInputMessage="1" showErrorMessage="1" promptTitle="Adanya PMKS Korban NAPZA" prompt="Keterangan:_x000a_0 : Tidak Ada_x000a_1 : Ada" sqref="G400" xr:uid="{00000000-0002-0000-0000-0000AA000000}">
      <formula1>"0,1"</formula1>
    </dataValidation>
    <dataValidation type="list" allowBlank="1" showInputMessage="1" showErrorMessage="1" promptTitle="PMKS Pekerja Migran Terlantar" prompt="Keterangan:_x000a_0 : Tidak Ada_x000a_1 : Ada" sqref="G401" xr:uid="{00000000-0002-0000-0000-0000AB000000}">
      <formula1>"0,1"</formula1>
    </dataValidation>
    <dataValidation type="list" allowBlank="1" showInputMessage="1" showErrorMessage="1" promptTitle="Adanya PMKS Gelandangan/Pengemis" prompt="Keterangan:_x000a_0 : Tidak Ada_x000a_1 : Ada" sqref="G402" xr:uid="{00000000-0002-0000-0000-0000AC000000}">
      <formula1>"0,1"</formula1>
    </dataValidation>
    <dataValidation allowBlank="1" showInputMessage="1" showErrorMessage="1" promptTitle="Sumber Air Minum Lainnya" prompt="Sebutkan" sqref="G425" xr:uid="{00000000-0002-0000-0000-0000AD000000}"/>
    <dataValidation type="list" allowBlank="1" showInputMessage="1" showErrorMessage="1" promptTitle="Terdapat Kantor Desa" prompt="0. Tidak Ada Kantor Desa_x000a_1. Ada, Diwilayah Desa_x000a_2. Ada, Diluar Wilayah Desa_x000a_" sqref="G26" xr:uid="{00000000-0002-0000-0000-0000AE000000}">
      <formula1>"0,1,2"</formula1>
    </dataValidation>
    <dataValidation type="list" allowBlank="1" showInputMessage="1" showErrorMessage="1" promptTitle="Terdapat Peta Desa dari Bupati" prompt="0: Tidak Ada_x000a_1: Ada" sqref="G27" xr:uid="{00000000-0002-0000-0000-0000AF000000}">
      <formula1>"0,1"</formula1>
    </dataValidation>
    <dataValidation type="list" allowBlank="1" showInputMessage="1" showErrorMessage="1" promptTitle="Pendidikan Terakhir Plt/Sekdes" prompt="0. Tidak Pernah Sekolah_x000a_1. Tamat S3_x000a_2. Tamat S2_x000a_3. Tamat S1/DIV_x000a_4. Tamat Akademi DIII_x000a_5. Tamat SLTA/ Sederajat_x000a_6. Tamat SLTP/ Sederajat_x000a_7. Tamat SD/ Sederajat_x000a_8. Tidak Tamat SD/sederajat" sqref="G39" xr:uid="{00000000-0002-0000-0000-0000B0000000}">
      <formula1>"0,1, 2, 3, 4, 5,6,7,8"</formula1>
    </dataValidation>
    <dataValidation type="whole" operator="greaterThanOrEqual" allowBlank="1" showInputMessage="1" showErrorMessage="1" promptTitle="Waktu Tempuh" prompt="Biaya yang dikeluarkan untuk Transportasi Dari kantor Desa Ke Ke Kantor Bupati/Walikota" sqref="G746 G743" xr:uid="{00000000-0002-0000-0000-0000B1000000}">
      <formula1>0</formula1>
    </dataValidation>
    <dataValidation type="list" showInputMessage="1" showErrorMessage="1" promptTitle="Terdapat Biogas" prompt="Keterangan:_x000a_0 : Tidak Ada_x000a_1 : Ada" sqref="G516" xr:uid="{00000000-0002-0000-0000-0000B2000000}">
      <formula1>"0,1"</formula1>
    </dataValidation>
    <dataValidation type="list" showInputMessage="1" showErrorMessage="1" promptTitle="Terdapat Penjual Agen LPG/Mita" prompt="Keterangan:_x000a_0: Tidak Ada_x000a_1: Ada" sqref="G517" xr:uid="{00000000-0002-0000-0000-0000B3000000}">
      <formula1>"0,1"</formula1>
    </dataValidation>
    <dataValidation type="list" showInputMessage="1" showErrorMessage="1" promptTitle="Bahan Bakar Memasak" prompt="1: Gas Kota_x000a_2: Biogas_x000a_3: LPG 3 Kg_x000a_4: LPG &gt;3 Kg_x000a_5: Batu Bara_x000a_6: Kriket_x000a_7: Minyak Tanah_x000a_8: Kayu Bakar_x000a_9: Lainnya " sqref="G518" xr:uid="{00000000-0002-0000-0000-0000B4000000}">
      <formula1>"0,1,2,3,4,5,6,7,8,9"</formula1>
    </dataValidation>
    <dataValidation operator="greaterThanOrEqual" allowBlank="1" showInputMessage="1" showErrorMessage="1" promptTitle="Bahan Bakar Masak Lainnya" prompt="(Sebutkan)" sqref="G519" xr:uid="{00000000-0002-0000-0000-0000B5000000}"/>
    <dataValidation type="list" allowBlank="1" showInputMessage="1" showErrorMessage="1" promptTitle="Terdapat Tanah Kas Desa/ Ulayat" prompt="0: Tidak Ada_x000a_1: Ada" sqref="G656" xr:uid="{00000000-0002-0000-0000-0000B6000000}">
      <formula1>"0,1"</formula1>
    </dataValidation>
    <dataValidation type="list" allowBlank="1" showInputMessage="1" showErrorMessage="1" promptTitle="Terdapat Bangunan Kantor Desa" prompt="0: Tidak Ada_x000a_1: Ada" sqref="G657" xr:uid="{00000000-0002-0000-0000-0000B7000000}">
      <formula1>"0,1"</formula1>
    </dataValidation>
    <dataValidation type="list" allowBlank="1" showInputMessage="1" showErrorMessage="1" promptTitle="Terdapat Bangunan Balai Desa" prompt="0: Tidak Ada_x000a_1: Ada" sqref="G658" xr:uid="{00000000-0002-0000-0000-0000B8000000}">
      <formula1>"0,1"</formula1>
    </dataValidation>
    <dataValidation allowBlank="1" showInputMessage="1" showErrorMessage="1" promptTitle="Terdapat Bangunan Desa Lainnya" prompt="Sebutkan" sqref="G659" xr:uid="{00000000-0002-0000-0000-0000B9000000}"/>
    <dataValidation type="list" allowBlank="1" showInputMessage="1" showErrorMessage="1" promptTitle="Terdapat Pasar Hewan" prompt="0: Tidak Ada_x000a_1: Ada" sqref="G660" xr:uid="{00000000-0002-0000-0000-0000BA000000}">
      <formula1>"0,1"</formula1>
    </dataValidation>
    <dataValidation type="list" allowBlank="1" showInputMessage="1" showErrorMessage="1" promptTitle="Terdapat Pasar Pelelangan Ikan" prompt="0: Tidak Ada_x000a_1: Ada" sqref="G661" xr:uid="{00000000-0002-0000-0000-0000BB000000}">
      <formula1>"0,1"</formula1>
    </dataValidation>
    <dataValidation type="list" allowBlank="1" showInputMessage="1" showErrorMessage="1" promptTitle="Terdapat Pasar Lelang Pertanian" prompt="0: Tidak Ada_x000a_1: Ada" sqref="G662" xr:uid="{00000000-0002-0000-0000-0000BC000000}">
      <formula1>"0,1"</formula1>
    </dataValidation>
    <dataValidation type="list" allowBlank="1" showInputMessage="1" showErrorMessage="1" promptTitle="Terdapat Pasar Desa Lainnya" prompt="Sebutkan" sqref="G663" xr:uid="{00000000-0002-0000-0000-0000BD000000}">
      <formula1>"0,1"</formula1>
    </dataValidation>
    <dataValidation allowBlank="1" showInputMessage="1" showErrorMessage="1" promptTitle="Terdapat Aset Desa Lainnya" prompt="Sebutkan" sqref="G664" xr:uid="{00000000-0002-0000-0000-0000BE000000}"/>
    <dataValidation type="decimal" operator="greaterThanOrEqual" allowBlank="1" showInputMessage="1" showErrorMessage="1" promptTitle="Jarak Sarkes Terdekat" prompt="Diukur dari Kantor Desa atau Pusat Keramaian" sqref="G129" xr:uid="{00000000-0002-0000-0000-0000BF000000}">
      <formula1>0</formula1>
    </dataValidation>
    <dataValidation type="list" showInputMessage="1" showErrorMessage="1" promptTitle="Tersedia Rumah Sakit" prompt="0: Tidak Ada_x000a_1: Ada_x000a__x000a_" sqref="G132" xr:uid="{00000000-0002-0000-0000-0000C0000000}">
      <formula1>"0,1"</formula1>
    </dataValidation>
    <dataValidation type="list" showInputMessage="1" showErrorMessage="1" promptTitle="Tersedia Rumah Sakit Bersalin" prompt="0: Tidak Ada_x000a_1: Ada_x000a__x000a_" sqref="G136" xr:uid="{00000000-0002-0000-0000-0000C1000000}">
      <formula1>"0,1"</formula1>
    </dataValidation>
    <dataValidation type="list" showInputMessage="1" showErrorMessage="1" promptTitle="Tersedia Puskesmas Rawat Inap" prompt="0: Tidak Ada_x000a_1: Ada_x000a__x000a_" sqref="G140" xr:uid="{00000000-0002-0000-0000-0000C2000000}">
      <formula1>"0,1"</formula1>
    </dataValidation>
    <dataValidation type="list" showInputMessage="1" showErrorMessage="1" promptTitle="Tdpt Puskesmas Tanpa Rawat Ina" prompt="0: Tidak Ada_x000a_1: Ada_x000a_" sqref="G144" xr:uid="{00000000-0002-0000-0000-0000C3000000}">
      <formula1>"0,1"</formula1>
    </dataValidation>
    <dataValidation type="list" showInputMessage="1" showErrorMessage="1" promptTitle="Tersedia Puskesmas Pembantu" prompt="0: Tidak Ada_x000a_1: Ada_x000a__x000a_" sqref="G148" xr:uid="{00000000-0002-0000-0000-0000C4000000}">
      <formula1>"0,1"</formula1>
    </dataValidation>
    <dataValidation type="list" showInputMessage="1" showErrorMessage="1" promptTitle="Tersedia Rumah Bersalin" prompt="0: Tidak Ada_x000a_1: Ada_x000a__x000a_" sqref="G152" xr:uid="{00000000-0002-0000-0000-0000C5000000}">
      <formula1>"0,1"</formula1>
    </dataValidation>
    <dataValidation type="list" showInputMessage="1" showErrorMessage="1" promptTitle="Tdapat P.Klinik/Balai Pengobatan" prompt="0: Tidak Ada_x000a_1: Ada_x000a__x000a_" sqref="G156" xr:uid="{00000000-0002-0000-0000-0000C6000000}">
      <formula1>"0,1"</formula1>
    </dataValidation>
    <dataValidation type="list" showInputMessage="1" showErrorMessage="1" promptTitle="Tersedia Tempat Praktek Dokter" prompt="0: Tidak Ada_x000a_1: Ada_x000a__x000a_" sqref="G160" xr:uid="{00000000-0002-0000-0000-0000C7000000}">
      <formula1>"0,1"</formula1>
    </dataValidation>
    <dataValidation type="list" showInputMessage="1" showErrorMessage="1" promptTitle="Tersedia Tempat Praktek Bidan" prompt="0: Tidak Ada_x000a_1: Ada_x000a__x000a_" sqref="G164" xr:uid="{00000000-0002-0000-0000-0000C8000000}">
      <formula1>"0,1"</formula1>
    </dataValidation>
    <dataValidation type="list" showInputMessage="1" showErrorMessage="1" promptTitle="Tersedia Apotik" prompt="0: Tidak Ada_x000a_1: Ada_x000a__x000a_" sqref="G168" xr:uid="{00000000-0002-0000-0000-0000C9000000}">
      <formula1>"0,1"</formula1>
    </dataValidation>
    <dataValidation type="whole" operator="lessThanOrEqual" allowBlank="1" showInputMessage="1" showErrorMessage="1" sqref="G229" xr:uid="{00000000-0002-0000-0000-0000CA000000}">
      <formula1>1000</formula1>
    </dataValidation>
    <dataValidation type="whole" operator="lessThanOrEqual" allowBlank="1" showInputMessage="1" showErrorMessage="1" sqref="G231" xr:uid="{00000000-0002-0000-0000-0000CB000000}">
      <formula1>100000</formula1>
    </dataValidation>
    <dataValidation type="whole" operator="lessThanOrEqual" allowBlank="1" showInputMessage="1" showErrorMessage="1" promptTitle="Tingkat Konvergensi Anak" prompt="TERHITUNG SECARA OTOMATIS" sqref="G248" xr:uid="{00000000-0002-0000-0000-0000CC000000}">
      <formula1>10000</formula1>
    </dataValidation>
    <dataValidation type="list" showInputMessage="1" showErrorMessage="1" promptTitle="Terdapat Gotong Royong" prompt="Keterangan:_x000a_0 : Tidak Ada_x000a_1 : Ada" sqref="G287" xr:uid="{00000000-0002-0000-0000-0000CD000000}">
      <formula1>"0,1"</formula1>
    </dataValidation>
    <dataValidation allowBlank="1" showInputMessage="1" showErrorMessage="1" promptTitle="Falititas/ Lapangan Lainnya" prompt="(Sebutkan)" sqref="G325" xr:uid="{00000000-0002-0000-0000-0000CE000000}"/>
    <dataValidation type="list" showInputMessage="1" showErrorMessage="1" promptTitle="Adanya Warga Beragama Islam" prompt="Keterangan:_x000a_0 : Tidak Ada_x000a_1 : Ada" sqref="G330" xr:uid="{00000000-0002-0000-0000-0000CF000000}">
      <formula1>"0,1"</formula1>
    </dataValidation>
    <dataValidation type="list" showInputMessage="1" showErrorMessage="1" promptTitle="Adanya Warga Beragama Kristen" prompt="Keterangan:_x000a_0 : Tidak Ada_x000a_1 : Ada" sqref="G331" xr:uid="{00000000-0002-0000-0000-0000D0000000}">
      <formula1>"0,1"</formula1>
    </dataValidation>
    <dataValidation type="list" showInputMessage="1" showErrorMessage="1" promptTitle="Adanya Warga Beragama Katolik" prompt="Keterangan:_x000a_0 : Tidak Ada_x000a_1 : Ada" sqref="G332" xr:uid="{00000000-0002-0000-0000-0000D1000000}">
      <formula1>"0,1"</formula1>
    </dataValidation>
    <dataValidation type="list" showInputMessage="1" showErrorMessage="1" promptTitle="Adanya Warga Beragama Buddha" prompt="Keterangan:_x000a_0 : Tidak Ada_x000a_1 : Ada" sqref="G333" xr:uid="{00000000-0002-0000-0000-0000D2000000}">
      <formula1>"0,1"</formula1>
    </dataValidation>
    <dataValidation type="list" showInputMessage="1" showErrorMessage="1" promptTitle="Adanya Warga Beragama Hindu" prompt="Keterangan:_x000a_0 : Tidak Ada_x000a_1 : Ada" sqref="G334" xr:uid="{00000000-0002-0000-0000-0000D3000000}">
      <formula1>"0,1"</formula1>
    </dataValidation>
    <dataValidation type="list" showInputMessage="1" showErrorMessage="1" promptTitle="Adanya Warga Beragama Kong Hu Cu" prompt="Keterangan:_x000a_0 : Tidak Ada_x000a_1 : Ada" sqref="G335" xr:uid="{00000000-0002-0000-0000-0000D4000000}">
      <formula1>"0,1"</formula1>
    </dataValidation>
    <dataValidation type="list" operator="lessThanOrEqual" showInputMessage="1" showErrorMessage="1" promptTitle="Terdapat Masjid" prompt="Keterangan:_x000a_0 : Tidak Ada_x000a_1 : Ada" sqref="G338" xr:uid="{00000000-0002-0000-0000-0000D5000000}">
      <formula1>"0,1"</formula1>
    </dataValidation>
    <dataValidation type="list" operator="lessThanOrEqual" showInputMessage="1" showErrorMessage="1" promptTitle="Terdapat Gereja Kristen" prompt="Keterangan:_x000a_0 : Tidak Ada_x000a_1 : Ada" sqref="G339" xr:uid="{00000000-0002-0000-0000-0000D6000000}">
      <formula1>"0,1"</formula1>
    </dataValidation>
    <dataValidation type="list" operator="lessThanOrEqual" showInputMessage="1" showErrorMessage="1" promptTitle="Terdapat Gereja Katolik" prompt="Keterangan:_x000a_0 : Tidak Ada_x000a_1 : Ada" sqref="G340" xr:uid="{00000000-0002-0000-0000-0000D7000000}">
      <formula1>"0,1"</formula1>
    </dataValidation>
    <dataValidation type="list" operator="lessThanOrEqual" showInputMessage="1" showErrorMessage="1" promptTitle="Terdapat Wihara" prompt="Keterangan:_x000a_0 : Tidak Ada_x000a_1 : Ada" sqref="G341" xr:uid="{00000000-0002-0000-0000-0000D8000000}">
      <formula1>"0,1"</formula1>
    </dataValidation>
    <dataValidation type="list" operator="lessThanOrEqual" showInputMessage="1" showErrorMessage="1" promptTitle="Terdapat Pura" prompt="Keterangan:_x000a_0 : Tidak Ada_x000a_1 : Ada" sqref="G342" xr:uid="{00000000-0002-0000-0000-0000D9000000}">
      <formula1>"0,1"</formula1>
    </dataValidation>
    <dataValidation type="list" showInputMessage="1" showErrorMessage="1" promptTitle="Kehadiran Warga Acara Kelahiran" prompt="Keterangan:_x000a_0 : Tidak_x000a_1 : Ya" sqref="G348" xr:uid="{00000000-0002-0000-0000-0000DA000000}">
      <formula1>"0,1"</formula1>
    </dataValidation>
    <dataValidation type="list" showInputMessage="1" showErrorMessage="1" promptTitle="Kehadiran Warga Acara Kematian" prompt="Keterangan:_x000a_0 : Tidak_x000a_1 : Ya" sqref="G349" xr:uid="{00000000-0002-0000-0000-0000DB000000}">
      <formula1>"0,1"</formula1>
    </dataValidation>
    <dataValidation type="list" showInputMessage="1" showErrorMessage="1" promptTitle="Kehadiran Warga Acara Perkawinan" prompt="Keterangan:_x000a_0 : Tidak_x000a_1 : Ya" sqref="G350" xr:uid="{00000000-0002-0000-0000-0000DC000000}">
      <formula1>"0,1"</formula1>
    </dataValidation>
    <dataValidation type="list" showInputMessage="1" showErrorMessage="1" promptTitle="Kehadiran Warga Acara Lainnya" prompt="Keterangan:_x000a_0 : Tidak_x000a_1 : Ya" sqref="G351" xr:uid="{00000000-0002-0000-0000-0000DD000000}">
      <formula1>"0,1"</formula1>
    </dataValidation>
    <dataValidation type="list" showInputMessage="1" showErrorMessage="1" promptTitle="Terdapat Kegiatan Poskamling" prompt="Keterangan:_x000a_0 : Tidak Ada_x000a_1 : Ada" sqref="G354" xr:uid="{00000000-0002-0000-0000-0000DE000000}">
      <formula1>"0,1"</formula1>
    </dataValidation>
    <dataValidation type="list" allowBlank="1" showInputMessage="1" showErrorMessage="1" promptTitle="Adanya Mediator yang Menangani" prompt="Keterangan:_x000a_0 : Tidak_x000a_1 : Ya" sqref="G367:G371" xr:uid="{00000000-0002-0000-0000-0000DF000000}">
      <formula1>"0,1"</formula1>
    </dataValidation>
    <dataValidation type="list" allowBlank="1" showInputMessage="1" showErrorMessage="1" promptTitle="Penyelesaian Konflik Sesuai Adat" prompt="Keterangan:_x000a_0 : Tidak_x000a_1 : Ya" sqref="G374" xr:uid="{00000000-0002-0000-0000-0000E0000000}">
      <formula1>"0,1"</formula1>
    </dataValidation>
    <dataValidation type="list" allowBlank="1" showInputMessage="1" showErrorMessage="1" promptTitle="Terdapat Kejahatan Pencurian" prompt="Keterangan:_x000a_0 : Tidak Ada_x000a_1 : Ada" sqref="G375" xr:uid="{00000000-0002-0000-0000-0000E1000000}">
      <formula1>"0,1"</formula1>
    </dataValidation>
    <dataValidation type="list" allowBlank="1" showInputMessage="1" showErrorMessage="1" promptTitle="Terdapat Kejahatan Penipuan" prompt="Keterangan:_x000a_0 : Tidak Ada_x000a_1 : Ada" sqref="G376" xr:uid="{00000000-0002-0000-0000-0000E2000000}">
      <formula1>"0,1"</formula1>
    </dataValidation>
    <dataValidation type="list" allowBlank="1" showInputMessage="1" showErrorMessage="1" promptTitle="Terdapat Kejahatan Penganiayaan" prompt="Keterangan:_x000a_0 : Tidak Ada_x000a_1 : Ada" sqref="G377" xr:uid="{00000000-0002-0000-0000-0000E3000000}">
      <formula1>"0,1"</formula1>
    </dataValidation>
    <dataValidation type="list" allowBlank="1" showInputMessage="1" showErrorMessage="1" promptTitle="Terdapat Kejahatan Pembakaran" prompt="Keterangan:_x000a_0 : Tidak Ada_x000a_1 : Ada" sqref="G378" xr:uid="{00000000-0002-0000-0000-0000E4000000}">
      <formula1>"0,1"</formula1>
    </dataValidation>
    <dataValidation type="list" allowBlank="1" showInputMessage="1" showErrorMessage="1" promptTitle="Terdapat Kejahatan Pemerkosaan" prompt="Keterangan:_x000a_0 : Tidak Ada_x000a_1 : Ada" sqref="G379" xr:uid="{00000000-0002-0000-0000-0000E5000000}">
      <formula1>"0,1"</formula1>
    </dataValidation>
    <dataValidation type="list" allowBlank="1" showInputMessage="1" showErrorMessage="1" promptTitle="Terdapat Kejahatan Narkoba" prompt="Keterangan:_x000a_0 : Tidak Ada_x000a_1 : Ada" sqref="G380" xr:uid="{00000000-0002-0000-0000-0000E6000000}">
      <formula1>"0,1"</formula1>
    </dataValidation>
    <dataValidation type="list" allowBlank="1" showInputMessage="1" showErrorMessage="1" promptTitle="Terdapat Kejahatan Perjudian" prompt="Keterangan:_x000a_0 : Tidak Ada_x000a_1 : Ada" sqref="G381" xr:uid="{00000000-0002-0000-0000-0000E7000000}">
      <formula1>"0,1"</formula1>
    </dataValidation>
    <dataValidation type="list" allowBlank="1" showInputMessage="1" showErrorMessage="1" promptTitle="Terdapat Kejahatan Pembunuhan" prompt="Keterangan:_x000a_0 : Tidak Ada_x000a_1 : Ada" sqref="G382" xr:uid="{00000000-0002-0000-0000-0000E8000000}">
      <formula1>"0,1"</formula1>
    </dataValidation>
    <dataValidation type="list" allowBlank="1" showInputMessage="1" showErrorMessage="1" promptTitle="Tdpt Kejahatan Perdagangan Orang" prompt="Keterangan:_x000a_0 : Tidak Ada_x000a_1 : Ada" sqref="G383" xr:uid="{00000000-0002-0000-0000-0000E9000000}">
      <formula1>"0,1"</formula1>
    </dataValidation>
    <dataValidation type="list" showInputMessage="1" showErrorMessage="1" promptTitle="Air Minum dari Kemasan" prompt="Keterangan:_x000a_0 : Tidak_x000a_1 : Ya" sqref="G416" xr:uid="{00000000-0002-0000-0000-0000EA000000}">
      <formula1>"0,1"</formula1>
    </dataValidation>
    <dataValidation type="list" showInputMessage="1" showErrorMessage="1" promptTitle="Air Minum dari Meteran PAM/PDAM" prompt="Keterangan:_x000a_0 : Tidak_x000a_1 : Ya" sqref="G417" xr:uid="{00000000-0002-0000-0000-0000EB000000}">
      <formula1>"0,1"</formula1>
    </dataValidation>
    <dataValidation type="list" showInputMessage="1" showErrorMessage="1" promptTitle="Air Minum dr Ledeng Tanpa Metern" prompt="Keterangan:_x000a_0 : Tidak_x000a_1 : Ya" sqref="G418" xr:uid="{00000000-0002-0000-0000-0000EC000000}">
      <formula1>"0,1"</formula1>
    </dataValidation>
    <dataValidation type="list" showInputMessage="1" showErrorMessage="1" promptTitle="Air Minum dari Sumur Bor/ Pompa" prompt="Keterangan:_x000a_0 : Tidak_x000a_1 : Ya" sqref="G419" xr:uid="{00000000-0002-0000-0000-0000ED000000}">
      <formula1>"0,1"</formula1>
    </dataValidation>
    <dataValidation type="list" showInputMessage="1" showErrorMessage="1" promptTitle="Air Minum dari Sumur" prompt="Keterangan:_x000a_0 : Tidak_x000a_1 : Ya" sqref="G420" xr:uid="{00000000-0002-0000-0000-0000EE000000}">
      <formula1>"0,1"</formula1>
    </dataValidation>
    <dataValidation type="list" showInputMessage="1" showErrorMessage="1" promptTitle="Air Minum dari Mata Air" prompt="Keterangan:_x000a_0 : Tidak_x000a_1 : Ya" sqref="G421" xr:uid="{00000000-0002-0000-0000-0000EF000000}">
      <formula1>"0,1"</formula1>
    </dataValidation>
    <dataValidation type="list" showInputMessage="1" showErrorMessage="1" promptTitle="Air Minum dr Sungai/Danau/Kolam" prompt="Keterangan:_x000a_0 : Tidak_x000a_1 : Ya" sqref="G422" xr:uid="{00000000-0002-0000-0000-0000F0000000}">
      <formula1>"0,1"</formula1>
    </dataValidation>
    <dataValidation type="list" showInputMessage="1" showErrorMessage="1" promptTitle="Air Minum dari Air Hujan" prompt="Keterangan:_x000a_0 : Tidak_x000a_1 : Ya" sqref="G423" xr:uid="{00000000-0002-0000-0000-0000F1000000}">
      <formula1>"0,1"</formula1>
    </dataValidation>
    <dataValidation type="list" showInputMessage="1" showErrorMessage="1" promptTitle="Air Minum dari Sumber Lainnya" prompt="Keterangan:_x000a_0 : Tidak_x000a_1 : Ya" sqref="G424" xr:uid="{00000000-0002-0000-0000-0000F2000000}">
      <formula1>"0,1"</formula1>
    </dataValidation>
    <dataValidation type="list" showInputMessage="1" showErrorMessage="1" promptTitle="Desa Ikutserta Bumdesa Bersama" prompt="Terdapat Bumdes Bersama di Desa_x000a_0: Tidak Ada_x000a_1: Ada" sqref="G541" xr:uid="{00000000-0002-0000-0000-0000F3000000}">
      <formula1>"0,1"</formula1>
    </dataValidation>
    <dataValidation allowBlank="1" showInputMessage="1" showErrorMessage="1" promptTitle="Nama Bumdesa" prompt=" " sqref="G539" xr:uid="{00000000-0002-0000-0000-0000F4000000}"/>
    <dataValidation allowBlank="1" showInputMessage="1" showErrorMessage="1" promptTitle="Nama Bumdesa Bersama" prompt=" " sqref="G542" xr:uid="{00000000-0002-0000-0000-0000F5000000}"/>
    <dataValidation type="whole" operator="greaterThanOrEqual" allowBlank="1" showInputMessage="1" showErrorMessage="1" promptTitle="Bid Penyelenggaraan PemDes 2019" prompt="Penyelanggaraan Belanja Penghasilan Tetap, Tunjangan, dan Operasional Pemerintah Desa Tahun 2019" sqref="G673" xr:uid="{00000000-0002-0000-0000-0000F6000000}">
      <formula1>0</formula1>
    </dataValidation>
    <dataValidation type="whole" operator="greaterThanOrEqual" allowBlank="1" showInputMessage="1" showErrorMessage="1" promptTitle="Bid Penyelenggaraan PemDes 2019" prompt="Sarpras Pemdes Tahun 2019" sqref="G674" xr:uid="{00000000-0002-0000-0000-0000F7000000}">
      <formula1>0</formula1>
    </dataValidation>
    <dataValidation type="whole" operator="greaterThanOrEqual" allowBlank="1" showInputMessage="1" showErrorMessage="1" promptTitle="Bid Penyelenggaraan PemDes 2019" prompt="Adminsitrasi Kependudukan, Pencatatan, Sipil, Statistik dan Kearsipan Tahun 2019" sqref="G675" xr:uid="{00000000-0002-0000-0000-0000F8000000}">
      <formula1>0</formula1>
    </dataValidation>
    <dataValidation type="whole" operator="greaterThanOrEqual" allowBlank="1" showInputMessage="1" showErrorMessage="1" promptTitle="Bid Penyelenggaraan PemDes 2019" prompt="Tata Praja Pemerintah, Perencanaan, Keuangan, Pelaporan Tahun 2019" sqref="G676" xr:uid="{00000000-0002-0000-0000-0000F9000000}">
      <formula1>0</formula1>
    </dataValidation>
    <dataValidation type="whole" operator="greaterThanOrEqual" allowBlank="1" showInputMessage="1" showErrorMessage="1" promptTitle="Bid Pelaks Pembangun PemDes 2019" prompt="Total Belanja Pelaksanaan Pembangunan Pemerintah Desa Tahun 2019" sqref="G685" xr:uid="{00000000-0002-0000-0000-0000FA000000}">
      <formula1>0</formula1>
    </dataValidation>
    <dataValidation type="whole" operator="greaterThanOrEqual" allowBlank="1" showInputMessage="1" showErrorMessage="1" promptTitle="Bid Pelaks Pembangun PemDes 2019" prompt="Pendidikan Tahun 2019" sqref="G686" xr:uid="{00000000-0002-0000-0000-0000FB000000}">
      <formula1>0</formula1>
    </dataValidation>
    <dataValidation type="whole" operator="greaterThanOrEqual" allowBlank="1" showInputMessage="1" showErrorMessage="1" promptTitle="Bid Pelaks Pembangun PemDes 2019" prompt="Kesehatan Tahun 2019" sqref="G687" xr:uid="{00000000-0002-0000-0000-0000FC000000}">
      <formula1>0</formula1>
    </dataValidation>
    <dataValidation type="whole" operator="greaterThanOrEqual" allowBlank="1" showInputMessage="1" showErrorMessage="1" promptTitle="Bid Pelaks Pembangun PemDes 2019" prompt="Pekerjaan Umum Tahun 2019" sqref="G688" xr:uid="{00000000-0002-0000-0000-0000FD000000}">
      <formula1>0</formula1>
    </dataValidation>
    <dataValidation type="whole" operator="greaterThanOrEqual" allowBlank="1" showInputMessage="1" showErrorMessage="1" promptTitle="Bid Pelaks Pembangun PemDes 2019" prompt="Kawasan Pemukiman Tahun 2018" sqref="G689" xr:uid="{00000000-0002-0000-0000-0000FE000000}">
      <formula1>0</formula1>
    </dataValidation>
    <dataValidation type="whole" operator="greaterThanOrEqual" allowBlank="1" showInputMessage="1" showErrorMessage="1" promptTitle="Bid Pelaks Pembangun PemDes 2019" prompt="Lingkungan Hidup Tahun 2019" sqref="G690" xr:uid="{00000000-0002-0000-0000-0000FF000000}">
      <formula1>0</formula1>
    </dataValidation>
    <dataValidation type="whole" operator="greaterThanOrEqual" allowBlank="1" showInputMessage="1" showErrorMessage="1" promptTitle="Bid Pelaks Pembangun PemDes 2019" prompt="Perhubungan Tahun 2019" sqref="G691" xr:uid="{00000000-0002-0000-0000-000000010000}">
      <formula1>0</formula1>
    </dataValidation>
    <dataValidation type="whole" operator="greaterThanOrEqual" allowBlank="1" showInputMessage="1" showErrorMessage="1" promptTitle="Bid Pelaks Pembangun PemDes 2019" prompt="Energi dan Sumber Daya Mineral Tahun 2019" sqref="G692" xr:uid="{00000000-0002-0000-0000-000001010000}">
      <formula1>0</formula1>
    </dataValidation>
    <dataValidation type="whole" operator="greaterThanOrEqual" allowBlank="1" showInputMessage="1" showErrorMessage="1" promptTitle="Bid Pelaks Pembangun PemDes 2019" prompt="Pariwisata Tahun 2019" sqref="G693" xr:uid="{00000000-0002-0000-0000-000002010000}">
      <formula1>0</formula1>
    </dataValidation>
    <dataValidation type="whole" operator="greaterThanOrEqual" allowBlank="1" showInputMessage="1" showErrorMessage="1" promptTitle="Bid Pelaks Pembangun PemDes 2020" prompt="Total Belanja Pelaksanaan Pembangunan Pemerintah Desa Tahun 2020" sqref="G694" xr:uid="{00000000-0002-0000-0000-000003010000}">
      <formula1>0</formula1>
    </dataValidation>
    <dataValidation type="whole" operator="greaterThanOrEqual" allowBlank="1" showInputMessage="1" showErrorMessage="1" promptTitle="Bid Pelaks Pembangun PemDes 2020" prompt="Pendidikan Tahun 2020" sqref="G695" xr:uid="{00000000-0002-0000-0000-000004010000}">
      <formula1>0</formula1>
    </dataValidation>
    <dataValidation type="whole" operator="greaterThanOrEqual" allowBlank="1" showInputMessage="1" showErrorMessage="1" promptTitle="Bid Pelaks Pembangun PemDes 2020" prompt="Kesehatan Tahun 2020" sqref="G696" xr:uid="{00000000-0002-0000-0000-000005010000}">
      <formula1>0</formula1>
    </dataValidation>
    <dataValidation type="whole" operator="greaterThanOrEqual" allowBlank="1" showInputMessage="1" showErrorMessage="1" promptTitle="Bid Pelaks Pembangun PemDes 2020" prompt="Pekerjaan Umum Tahun 2020" sqref="G697" xr:uid="{00000000-0002-0000-0000-000006010000}">
      <formula1>0</formula1>
    </dataValidation>
    <dataValidation type="whole" operator="greaterThanOrEqual" allowBlank="1" showInputMessage="1" showErrorMessage="1" promptTitle="Bid Pelaks Pembangun PemDes 2020" prompt="Kawasan Pemukiman Tahun 2020" sqref="G698" xr:uid="{00000000-0002-0000-0000-000007010000}">
      <formula1>0</formula1>
    </dataValidation>
    <dataValidation type="whole" operator="greaterThanOrEqual" allowBlank="1" showInputMessage="1" showErrorMessage="1" promptTitle="Bid Pelaks Pembangun PemDes 2020" prompt="Lingkungan Hidup Tahun 2020" sqref="G699" xr:uid="{00000000-0002-0000-0000-000008010000}">
      <formula1>0</formula1>
    </dataValidation>
    <dataValidation type="whole" operator="greaterThanOrEqual" allowBlank="1" showInputMessage="1" showErrorMessage="1" promptTitle="Bid Pelaks Pembangun PemDes 2020" prompt="Perhubungan Tahun 2020" sqref="G700" xr:uid="{00000000-0002-0000-0000-000009010000}">
      <formula1>0</formula1>
    </dataValidation>
    <dataValidation allowBlank="1" showInputMessage="1" showErrorMessage="1" promptTitle="Bid Pembin Kmasyrkt Desa Th 2019" prompt="Total Bidang Pembinaan Kemasyarakatan Desa Tahun 2019" sqref="G704" xr:uid="{00000000-0002-0000-0000-00000A010000}"/>
    <dataValidation allowBlank="1" showInputMessage="1" showErrorMessage="1" promptTitle="Bid Pembin Kmasyrkt Desa Th 2019" prompt="Ketentraman, Ketertiban dan Perlindungan Masyarakat Tahun 2019" sqref="G705" xr:uid="{00000000-0002-0000-0000-00000B010000}"/>
    <dataValidation allowBlank="1" showInputMessage="1" showErrorMessage="1" promptTitle="Bid Pembin Kmasyrkt Desa Th 2019" prompt="Kebudayaan dan Keagamaan Tahun 2019" sqref="G706" xr:uid="{00000000-0002-0000-0000-00000C010000}"/>
    <dataValidation allowBlank="1" showInputMessage="1" showErrorMessage="1" promptTitle="Bid Pembin Kmasyrkt Desa Th 2019" prompt="Kepemudaan dan Olahraga Tahun 2019" sqref="G707" xr:uid="{00000000-0002-0000-0000-00000D010000}"/>
    <dataValidation allowBlank="1" showInputMessage="1" showErrorMessage="1" promptTitle="Bid Pembin Kmasyrkt Desa Th 2019" prompt="Kelembagaan Masyarakat Tahun 2019" sqref="G708" xr:uid="{00000000-0002-0000-0000-00000E010000}"/>
    <dataValidation allowBlank="1" showInputMessage="1" showErrorMessage="1" promptTitle="Bid Pembin Kmasyrkt Desa Th 2020" prompt="Total Bidang Pembinaan Kemasyarakatan Desa Tahun 2020" sqref="G709" xr:uid="{00000000-0002-0000-0000-00000F010000}"/>
    <dataValidation allowBlank="1" showInputMessage="1" showErrorMessage="1" promptTitle="Bid Pembin Kmasyrkt Desa Th 2020" prompt="Ketentraman, Ketertiban dan Perlindungan Masyarakat Tahun 2020" sqref="G710" xr:uid="{00000000-0002-0000-0000-000010010000}"/>
    <dataValidation allowBlank="1" showInputMessage="1" showErrorMessage="1" promptTitle="Bid Pembin Kmasyrkt Desa Th 2020" prompt="Kebudayaan dan Keagamaan Tahun 2020" sqref="G711" xr:uid="{00000000-0002-0000-0000-000011010000}"/>
    <dataValidation allowBlank="1" showInputMessage="1" showErrorMessage="1" promptTitle="Bid Pembin Kmasyrkt Desa Th 2020" prompt="Kepemudaan dan Olahraga Tahun 2020" sqref="G712" xr:uid="{00000000-0002-0000-0000-000012010000}"/>
    <dataValidation allowBlank="1" showInputMessage="1" showErrorMessage="1" promptTitle="Bid Pembin Kmasyrkt Desa Th 2020" prompt="Kelembagaan Masyarakat Tahun 2020" sqref="G713" xr:uid="{00000000-0002-0000-0000-000013010000}"/>
    <dataValidation allowBlank="1" showInputMessage="1" showErrorMessage="1" promptTitle="Bidang PMD Tahun 2019" prompt="Total Bidang Pemberdayaan Masyarakat Desa Tahun 2019" sqref="G715" xr:uid="{00000000-0002-0000-0000-000014010000}"/>
    <dataValidation allowBlank="1" showInputMessage="1" showErrorMessage="1" promptTitle="Bidang PMD Tahun 2019" prompt="Kelautan dan Perikanan Tahun 2019" sqref="G716" xr:uid="{00000000-0002-0000-0000-000015010000}"/>
    <dataValidation allowBlank="1" showInputMessage="1" showErrorMessage="1" promptTitle="Bidang PMD Tahun 2019" prompt="Pertanian dan Peternakan Tahun 2019" sqref="G717" xr:uid="{00000000-0002-0000-0000-000016010000}"/>
    <dataValidation allowBlank="1" showInputMessage="1" showErrorMessage="1" promptTitle="Bidang PMD Tahun 2019" prompt="Peningkatan Kapasitas Aparatur Desa Tahun 2019" sqref="G718" xr:uid="{00000000-0002-0000-0000-000017010000}"/>
    <dataValidation allowBlank="1" showInputMessage="1" showErrorMessage="1" promptTitle="Bidang PMD Tahun 2019" prompt="Pemberdayaan Perempuan, Perlindungan, Anak dan Keluarga Tahun 2019" sqref="G719" xr:uid="{00000000-0002-0000-0000-000018010000}"/>
    <dataValidation allowBlank="1" showInputMessage="1" showErrorMessage="1" promptTitle="Bidang PMD Tahun 2019" prompt="Koperasi Tahun 2019" sqref="G720" xr:uid="{00000000-0002-0000-0000-000019010000}"/>
    <dataValidation allowBlank="1" showInputMessage="1" showErrorMessage="1" promptTitle="Bidang PMD Tahun 2019" prompt="Dukungan Penanaman Modal Tahun 2019" sqref="G721" xr:uid="{00000000-0002-0000-0000-00001A010000}"/>
    <dataValidation allowBlank="1" showInputMessage="1" showErrorMessage="1" promptTitle="Bidang PMD Tahun 2019" prompt="Perdagangan dan Industri Tahun 2019" sqref="G722" xr:uid="{00000000-0002-0000-0000-00001B010000}"/>
    <dataValidation allowBlank="1" showInputMessage="1" showErrorMessage="1" promptTitle="Bidang PMD Tahun 2020" prompt="Total Bidang Pemberdayaan Masyarakat Desa Tahun 2020" sqref="G723" xr:uid="{00000000-0002-0000-0000-00001C010000}"/>
    <dataValidation allowBlank="1" showInputMessage="1" showErrorMessage="1" promptTitle="Bidang PMD Tahun 2020" prompt="Kelautan dan Perikanan Tahun 2020" sqref="G724" xr:uid="{00000000-0002-0000-0000-00001D010000}"/>
    <dataValidation allowBlank="1" showInputMessage="1" showErrorMessage="1" promptTitle="Bidang PMD Tahun 2020" prompt="Pertanian dan Peternakan Tahun 2020" sqref="G725" xr:uid="{00000000-0002-0000-0000-00001E010000}"/>
    <dataValidation allowBlank="1" showInputMessage="1" showErrorMessage="1" promptTitle="Bidang PMD Tahun 2020" prompt="Peningkatan Kapasitas Aparatur Desa Tahun 2020" sqref="G726" xr:uid="{00000000-0002-0000-0000-00001F010000}"/>
    <dataValidation allowBlank="1" showInputMessage="1" showErrorMessage="1" promptTitle="Bidang PMD Tahun 2020" prompt="Koperasi Tahun 2020" sqref="G728" xr:uid="{00000000-0002-0000-0000-000020010000}"/>
    <dataValidation allowBlank="1" showInputMessage="1" showErrorMessage="1" promptTitle="Bid P Bencna, Mdesak, Drrat 2019" prompt="Total Bidang Penanggulangan Bencana, Keadaan Mendesak dan Darurat Desa Tahun 2019" sqref="G732" xr:uid="{00000000-0002-0000-0000-000021010000}"/>
    <dataValidation allowBlank="1" showInputMessage="1" showErrorMessage="1" promptTitle="Bid P Bencna, Mdesak, Drrat 2019" prompt="Penanggulangan Bencana Tahun 2019" sqref="G733" xr:uid="{00000000-0002-0000-0000-000022010000}"/>
    <dataValidation allowBlank="1" showInputMessage="1" showErrorMessage="1" promptTitle="Bid P Bencna, Mdesak, Drrat 2019" prompt="Keadaan Darurat Tahun 2019" sqref="G734" xr:uid="{00000000-0002-0000-0000-000023010000}"/>
    <dataValidation allowBlank="1" showInputMessage="1" showErrorMessage="1" promptTitle="Bid P Bencna, Mdesak, Drrat 2019" prompt="Keadaan Mendesak Tahun 2019" sqref="G735" xr:uid="{00000000-0002-0000-0000-000024010000}"/>
    <dataValidation allowBlank="1" showInputMessage="1" showErrorMessage="1" promptTitle="Bid P Bencna, Mdesak, Drrat 2020" prompt="Total Bidang Penanggulangan Bencana, Keadaan Mendesak dan Darurat Desa Tahun 2020" sqref="G736" xr:uid="{00000000-0002-0000-0000-000025010000}"/>
    <dataValidation allowBlank="1" showInputMessage="1" showErrorMessage="1" promptTitle="Bid P Bencna, Mdesak, Drrat 2020" prompt="Penanggulangan Bencana Tahun 2020" sqref="G737" xr:uid="{00000000-0002-0000-0000-000026010000}"/>
    <dataValidation allowBlank="1" showInputMessage="1" showErrorMessage="1" promptTitle="Bid P Bencna, Mdesak, Drrat 2020" prompt="Keadaan Darurat Tahun 2020" sqref="G738" xr:uid="{00000000-0002-0000-0000-000027010000}"/>
    <dataValidation allowBlank="1" showInputMessage="1" showErrorMessage="1" promptTitle="Bid P Bencna, Mdesak, Drrat 2020" prompt="Keadaan Mendesak Tahun 2020" sqref="G739" xr:uid="{00000000-0002-0000-0000-000028010000}"/>
    <dataValidation type="whole" operator="lessThanOrEqual" allowBlank="1" showInputMessage="1" showErrorMessage="1" promptTitle="Total Fasilitas/ Lapangan OR" prompt="TERHITUNG SECARA OTOMATIS" sqref="G318" xr:uid="{00000000-0002-0000-0000-000029010000}">
      <formula1>10</formula1>
    </dataValidation>
    <dataValidation allowBlank="1" showInputMessage="1" showErrorMessage="1" promptTitle="Total Jumlah Penduduk" prompt="TERHITUNG SECARA OTOMATIS" sqref="G79" xr:uid="{00000000-0002-0000-0000-00002A010000}"/>
    <dataValidation type="whole" operator="lessThanOrEqual" allowBlank="1" showInputMessage="1" showErrorMessage="1" promptTitle="Jlh Indikator Terpenuhi Bumil" prompt="TERHITUNG SECARA OTOMATIS" sqref="G228" xr:uid="{00000000-0002-0000-0000-00002B010000}">
      <formula1>1000</formula1>
    </dataValidation>
    <dataValidation type="whole" operator="lessThanOrEqual" allowBlank="1" showInputMessage="1" showErrorMessage="1" promptTitle="Indikator Seharusnya" prompt="TERHITUNG SECARA OTOMATIS" sqref="G230" xr:uid="{00000000-0002-0000-0000-00002C010000}">
      <formula1>1000</formula1>
    </dataValidation>
    <dataValidation allowBlank="1" showInputMessage="1" showErrorMessage="1" promptTitle="Tingkat Konvergensi" prompt="TERHITUNG SECARA OTOMATIS" sqref="G232" xr:uid="{00000000-0002-0000-0000-00002D010000}"/>
    <dataValidation type="list" showInputMessage="1" showErrorMessage="1" promptTitle="Tdpt Insiatif Warga Siskamling" prompt="Keterangan:_x000a_0 : Tidak Ada_x000a_1 : Ada" sqref="G355" xr:uid="{00000000-0002-0000-0000-00002E010000}">
      <formula1>"0,1"</formula1>
    </dataValidation>
    <dataValidation allowBlank="1" showInputMessage="1" showErrorMessage="1" promptTitle="Koordinat Desa Latitude (LU/LS)" prompt="Dapat di Cek Melalui:_x000a_www.latlong.net_x000a_atau _x000a_Foto Geotagging" sqref="G23" xr:uid="{00000000-0002-0000-0000-00002F010000}"/>
    <dataValidation allowBlank="1" showInputMessage="1" showErrorMessage="1" promptTitle="Nama Informan" prompt=" " sqref="G10" xr:uid="{00000000-0002-0000-0000-000030010000}"/>
    <dataValidation allowBlank="1" showInputMessage="1" showErrorMessage="1" promptTitle="Jabatan Informan" prompt=" " sqref="G11" xr:uid="{00000000-0002-0000-0000-000031010000}"/>
    <dataValidation type="whole" operator="greaterThanOrEqual" allowBlank="1" showInputMessage="1" showErrorMessage="1" promptTitle="Bid Penyelenggaraan PemDes 2019" prompt="Belanja Pertanahan Tahun 2019" sqref="G677" xr:uid="{00000000-0002-0000-0000-000032010000}">
      <formula1>0</formula1>
    </dataValidation>
    <dataValidation type="whole" operator="greaterThanOrEqual" allowBlank="1" showInputMessage="1" showErrorMessage="1" promptTitle="Bid Penyelenggaraan PemDes 2020" prompt="Belanja Pertanahan Tahun 2020" sqref="G683" xr:uid="{00000000-0002-0000-0000-000033010000}">
      <formula1>0</formula1>
    </dataValidation>
    <dataValidation type="whole" operator="greaterThanOrEqual" allowBlank="1" showInputMessage="1" showErrorMessage="1" promptTitle="Bid Pelaks Pembangun PemDes 2020" prompt="Energi dan Sumber Daya Mineral Tahun 2020" sqref="G701" xr:uid="{00000000-0002-0000-0000-000034010000}">
      <formula1>0</formula1>
    </dataValidation>
    <dataValidation type="whole" operator="greaterThanOrEqual" allowBlank="1" showInputMessage="1" showErrorMessage="1" promptTitle="Bid Pelaks Pembangun PemDes 2020" prompt="Pariwisata Tahun 2020" sqref="G702" xr:uid="{00000000-0002-0000-0000-000035010000}">
      <formula1>0</formula1>
    </dataValidation>
    <dataValidation type="whole" operator="greaterThanOrEqual" allowBlank="1" showInputMessage="1" showErrorMessage="1" promptTitle="Bid Penyelenggaraan PemDes 2020" prompt="Total Belanja Bidang Penyelenggaraan Pemerintah Tahun 2020" sqref="G678" xr:uid="{00000000-0002-0000-0000-000036010000}">
      <formula1>0</formula1>
    </dataValidation>
    <dataValidation type="whole" operator="greaterThanOrEqual" allowBlank="1" showInputMessage="1" showErrorMessage="1" promptTitle="Bid Penyelenggaraan PemDes 2020" prompt="Penyelanggaraan Belanja Penghasilan Tetap, Tunjangan, dan Operasional Pemerintah Desa Tahun 2020" sqref="G679" xr:uid="{00000000-0002-0000-0000-000037010000}">
      <formula1>0</formula1>
    </dataValidation>
    <dataValidation type="whole" operator="greaterThanOrEqual" allowBlank="1" showInputMessage="1" showErrorMessage="1" promptTitle="Bid Penyelenggaraan PemDes 2020" prompt="Sarpras Pemdes Tahun 2020" sqref="G680" xr:uid="{00000000-0002-0000-0000-000038010000}">
      <formula1>0</formula1>
    </dataValidation>
    <dataValidation type="whole" operator="greaterThanOrEqual" allowBlank="1" showInputMessage="1" showErrorMessage="1" promptTitle="Bid Penyelenggaraan PemDes 2020" prompt="Adminsitrasi Kependudukan, Pencatatan, Sipil, Statistik dan Kearsipan Tahun 2020" sqref="G681" xr:uid="{00000000-0002-0000-0000-000039010000}">
      <formula1>0</formula1>
    </dataValidation>
    <dataValidation type="whole" operator="greaterThanOrEqual" allowBlank="1" showInputMessage="1" showErrorMessage="1" promptTitle="Bid Penyelenggaraan PemDes 2020" prompt="Tata Praja Pemerintah, Perencanaan, Keuangan, Pelaporan Tahun 2020" sqref="G682" xr:uid="{00000000-0002-0000-0000-00003A010000}">
      <formula1>0</formula1>
    </dataValidation>
    <dataValidation allowBlank="1" showInputMessage="1" showErrorMessage="1" promptTitle="Bidang PMD Tahun 2020" prompt="Pemberdayaan Perempuan, Perlindungan, Anak dan Keluarga Tahun 2020" sqref="G727" xr:uid="{00000000-0002-0000-0000-00003B010000}"/>
    <dataValidation allowBlank="1" showInputMessage="1" showErrorMessage="1" promptTitle="Bidang PMD Tahun 2020" prompt="Dukungan Penanaman Modal Tahun 2020" sqref="G729" xr:uid="{00000000-0002-0000-0000-00003C010000}"/>
    <dataValidation allowBlank="1" showInputMessage="1" showErrorMessage="1" promptTitle="Bidang PMD Tahun 2020" prompt="Perdagangan dan Industri Tahun 2020" sqref="G730" xr:uid="{00000000-0002-0000-0000-00003D010000}"/>
    <dataValidation allowBlank="1" showInputMessage="1" showErrorMessage="1" prompt="Nama Akun Facebook Desa" sqref="G33" xr:uid="{00000000-0002-0000-0000-00003E010000}"/>
    <dataValidation allowBlank="1" showInputMessage="1" showErrorMessage="1" prompt="Nama Akun Instragram Desa" sqref="G34" xr:uid="{00000000-0002-0000-0000-00003F010000}"/>
    <dataValidation allowBlank="1" showInputMessage="1" showErrorMessage="1" prompt="Nama Akun Twitter Desa" sqref="G35" xr:uid="{00000000-0002-0000-0000-000040010000}"/>
    <dataValidation allowBlank="1" showInputMessage="1" showErrorMessage="1" prompt="Alamat Web Desa" sqref="G36" xr:uid="{00000000-0002-0000-0000-000041010000}"/>
    <dataValidation type="decimal" operator="greaterThanOrEqual" allowBlank="1" showInputMessage="1" showErrorMessage="1" prompt="Jarak Diukur dari Kantor Desa ke Kantor Camat" sqref="G741 G744" xr:uid="{00000000-0002-0000-0000-000042010000}">
      <formula1>0</formula1>
    </dataValidation>
    <dataValidation type="whole" operator="greaterThanOrEqual" allowBlank="1" showInputMessage="1" showErrorMessage="1" sqref="G497 G495 G634" xr:uid="{00000000-0002-0000-0000-000043010000}">
      <formula1>0</formula1>
    </dataValidation>
    <dataValidation type="decimal" operator="greaterThanOrEqual" allowBlank="1" showInputMessage="1" showErrorMessage="1" promptTitle="Jarak Penginapan/Hotel T'dekat" prompt="(Meter)" sqref="G514" xr:uid="{00000000-0002-0000-0000-000044010000}">
      <formula1>0</formula1>
    </dataValidation>
    <dataValidation type="whole" operator="greaterThanOrEqual" allowBlank="1" showInputMessage="1" showErrorMessage="1" promptTitle="Waktu Tempuh" prompt="Diukur dari Kantor Desa atau Pusat Keramaian_x000a_Menggunakan Kendaraan Bermotor" sqref="G130 G134 G138 G142 G146 G150 G154 G158 G162 G166 G170" xr:uid="{00000000-0002-0000-0000-000045010000}">
      <formula1>0</formula1>
    </dataValidation>
    <dataValidation type="whole" operator="greaterThanOrEqual" allowBlank="1" showInputMessage="1" showErrorMessage="1" promptTitle="Jlh KK yg Memiliki Rumah" prompt="Input Dengan Angka" sqref="G407" xr:uid="{00000000-0002-0000-0000-000046010000}">
      <formula1>0</formula1>
    </dataValidation>
    <dataValidation type="whole" operator="greaterThanOrEqual" allowBlank="1" showInputMessage="1" showErrorMessage="1" promptTitle="Jlh KK yg Tdk Memiliki Rumah" prompt="Input Dengan Angka" sqref="G408" xr:uid="{00000000-0002-0000-0000-000047010000}">
      <formula1>0</formula1>
    </dataValidation>
    <dataValidation type="whole" operator="greaterThanOrEqual" allowBlank="1" showInputMessage="1" showErrorMessage="1" promptTitle="Jlh KK yg Miliki Rumah Permanen" prompt="Input Dengan Angka" sqref="G409" xr:uid="{00000000-0002-0000-0000-000048010000}">
      <formula1>0</formula1>
    </dataValidation>
    <dataValidation type="list" allowBlank="1" showInputMessage="1" showErrorMessage="1" promptTitle="Kondisi KK Miliki Rumah Permanen" prompt="1. Baik_x000a_2. Sedang_x000a_3. Rusak" sqref="G410" xr:uid="{00000000-0002-0000-0000-000049010000}">
      <formula1>"1,2,3"</formula1>
    </dataValidation>
    <dataValidation type="list" allowBlank="1" showInputMessage="1" showErrorMessage="1" promptTitle="Kondisi KK Rumah Semi Permanen" prompt="1. Baik_x000a_2. Sedang_x000a_3. Rusak" sqref="G412" xr:uid="{00000000-0002-0000-0000-00004A010000}">
      <formula1>"1,2,3"</formula1>
    </dataValidation>
    <dataValidation type="list" allowBlank="1" showInputMessage="1" showErrorMessage="1" promptTitle="Kondisi KK  Rumah Non Permanen" prompt="1. Baik_x000a_2. Sedang_x000a_3. Rusak" sqref="G414" xr:uid="{00000000-0002-0000-0000-00004B010000}">
      <formula1>"1,2,3"</formula1>
    </dataValidation>
    <dataValidation type="whole" operator="greaterThanOrEqual" allowBlank="1" showInputMessage="1" showErrorMessage="1" promptTitle="Jlh KK Miliki Rumah SemiPermanen" prompt="Input Dengan Angka" sqref="G411" xr:uid="{00000000-0002-0000-0000-00004C010000}">
      <formula1>0</formula1>
    </dataValidation>
    <dataValidation type="whole" operator="greaterThanOrEqual" allowBlank="1" showInputMessage="1" showErrorMessage="1" promptTitle="Jlh KK Miliki Rumah Non Permanen" prompt="Input Dengan Angka" sqref="G413" xr:uid="{00000000-0002-0000-0000-00004D010000}">
      <formula1>0</formula1>
    </dataValidation>
    <dataValidation type="list" showInputMessage="1" showErrorMessage="1" promptTitle="Kondisi Ruang Publik di Desa" prompt="Keterangan:_x000a_1 :Baik Terawat_x000a_2 : Kurang Terawat_x000a_3 : Tidak Terawat" sqref="G290" xr:uid="{00000000-0002-0000-0000-00004E010000}">
      <formula1>"1,2,3"</formula1>
    </dataValidation>
    <dataValidation type="whole" operator="greaterThanOrEqual" allowBlank="1" showInputMessage="1" showErrorMessage="1" promptTitle="Jlh KK BAB Jamban Sendiri" prompt="Input dengan angka" sqref="G438" xr:uid="{00000000-0002-0000-0000-00004F010000}">
      <formula1>0</formula1>
    </dataValidation>
    <dataValidation type="whole" operator="greaterThanOrEqual" allowBlank="1" showInputMessage="1" showErrorMessage="1" promptTitle="Jlh KK BAB Jamban Bersama" prompt="Input dengan angka" sqref="G439" xr:uid="{00000000-0002-0000-0000-000050010000}">
      <formula1>0</formula1>
    </dataValidation>
    <dataValidation type="whole" operator="greaterThanOrEqual" allowBlank="1" showInputMessage="1" showErrorMessage="1" promptTitle="Jlh KK BAB Jamban Umum" prompt="Input dengan angka" sqref="G440" xr:uid="{00000000-0002-0000-0000-000051010000}">
      <formula1>0</formula1>
    </dataValidation>
    <dataValidation type="whole" operator="greaterThanOrEqual" allowBlank="1" showInputMessage="1" showErrorMessage="1" promptTitle="Jlh KK BAB Bukan Jamban" prompt="Input dengan angka" sqref="G441" xr:uid="{00000000-0002-0000-0000-000052010000}">
      <formula1>0</formula1>
    </dataValidation>
    <dataValidation allowBlank="1" showInputMessage="1" showErrorMessage="1" promptTitle="Jumlah Sumber Energi Terbarukan" prompt="TERHITUNG SECARA OTOMATIS" sqref="G456" xr:uid="{00000000-0002-0000-0000-000053010000}"/>
    <dataValidation type="list" showInputMessage="1" showErrorMessage="1" promptTitle="Terdapat PJU" prompt="0: Tidak Ada_x000a_1: Ada" sqref="G458" xr:uid="{00000000-0002-0000-0000-000054010000}">
      <formula1>"0,1"</formula1>
    </dataValidation>
    <dataValidation type="list" showInputMessage="1" showErrorMessage="1" promptTitle="Sumber Energi PJU Diesel Non PLN" prompt="0: Tidak Ada_x000a_1: Ada" sqref="G460" xr:uid="{00000000-0002-0000-0000-000055010000}">
      <formula1>"0,1"</formula1>
    </dataValidation>
    <dataValidation type="list" showInputMessage="1" showErrorMessage="1" promptTitle="Sumber Energi PJU dari PLN" prompt="0: Tidak Ada_x000a_1: Ada" sqref="G459" xr:uid="{00000000-0002-0000-0000-000056010000}">
      <formula1>"0,1"</formula1>
    </dataValidation>
    <dataValidation type="list" showInputMessage="1" showErrorMessage="1" promptTitle="Sumber Energi PJU dr EBT Non PLN" prompt="0: Tidak Ada_x000a_1: Ada" sqref="G461" xr:uid="{00000000-0002-0000-0000-000057010000}">
      <formula1>"0,1"</formula1>
    </dataValidation>
    <dataValidation type="list" showInputMessage="1" showErrorMessage="1" promptTitle="Tersedia BTS" prompt="0: Tidak Ada_x000a_1: Ya" sqref="G478" xr:uid="{00000000-0002-0000-0000-000058010000}">
      <formula1>"0,1"</formula1>
    </dataValidation>
    <dataValidation type="whole" operator="greaterThanOrEqual" allowBlank="1" showInputMessage="1" showErrorMessage="1" promptTitle="Jarak Tower Terdekat" prompt="Input Menggunakan Angka" sqref="G480" xr:uid="{00000000-0002-0000-0000-000059010000}">
      <formula1>0</formula1>
    </dataValidation>
    <dataValidation type="list" showInputMessage="1" showErrorMessage="1" promptTitle="Mayoritas Warga Pakai Parabola" prompt="0: Tidak Ada_x000a_1: Ya, Sebagian Kecil_x000a_2: Ya, Sebagian Besar" sqref="G479" xr:uid="{00000000-0002-0000-0000-00005A010000}">
      <formula1>"0,1,2"</formula1>
    </dataValidation>
    <dataValidation type="whole" operator="greaterThanOrEqual" allowBlank="1" showInputMessage="1" showErrorMessage="1" promptTitle="Jlh Mikro kecil-Industri RT" prompt="Input Menggunakan Angka" sqref="G488" xr:uid="{00000000-0002-0000-0000-00005B010000}">
      <formula1>0</formula1>
    </dataValidation>
    <dataValidation type="whole" operator="greaterThanOrEqual" allowBlank="1" showInputMessage="1" showErrorMessage="1" promptTitle="Jlh Mikro kecil-Pariwisata" prompt="Input Menggunakan Angka" sqref="G489" xr:uid="{00000000-0002-0000-0000-00005C010000}">
      <formula1>0</formula1>
    </dataValidation>
    <dataValidation type="whole" operator="greaterThanOrEqual" allowBlank="1" showInputMessage="1" showErrorMessage="1" promptTitle="Jlh Mikro kecil-Perikanan" prompt="Input Menggunakan Angka" sqref="G490" xr:uid="{00000000-0002-0000-0000-00005D010000}">
      <formula1>0</formula1>
    </dataValidation>
    <dataValidation type="whole" operator="greaterThanOrEqual" allowBlank="1" showInputMessage="1" showErrorMessage="1" promptTitle="Jlh Mikro kecil-Pertanian" prompt="Input Menggunakan Angka" sqref="G491" xr:uid="{00000000-0002-0000-0000-00005E010000}">
      <formula1>0</formula1>
    </dataValidation>
    <dataValidation type="whole" operator="greaterThanOrEqual" allowBlank="1" showInputMessage="1" showErrorMessage="1" promptTitle="Jlh Mikro kecil-Peternakan" prompt="Input Menggunakan Angka" sqref="G492" xr:uid="{00000000-0002-0000-0000-00005F010000}">
      <formula1>0</formula1>
    </dataValidation>
    <dataValidation type="whole" operator="greaterThanOrEqual" allowBlank="1" showInputMessage="1" showErrorMessage="1" promptTitle="Jlh Mikro kecil-Lainnya" prompt="Input Menggunakan Angka" sqref="G493" xr:uid="{00000000-0002-0000-0000-000060010000}">
      <formula1>0</formula1>
    </dataValidation>
    <dataValidation type="whole" operator="greaterThanOrEqual" allowBlank="1" showInputMessage="1" showErrorMessage="1" promptTitle="Total Industri Mikro &amp; Kecil" prompt="TERHITUNG SECARA OTOMATIS" sqref="G494" xr:uid="{00000000-0002-0000-0000-000061010000}">
      <formula1>0</formula1>
    </dataValidation>
    <dataValidation type="whole" operator="greaterThanOrEqual" allowBlank="1" showInputMessage="1" showErrorMessage="1" promptTitle="Jumlah Industri Menengah di Desa" prompt="Input Menggunakan Angka" sqref="G496" xr:uid="{00000000-0002-0000-0000-000062010000}">
      <formula1>0</formula1>
    </dataValidation>
    <dataValidation type="list" operator="greaterThanOrEqual" allowBlank="1" showInputMessage="1" showErrorMessage="1" promptTitle="Mayoritas alat P'Tanian di desa" prompt="1. Traktor_x000a_2. Penggilingan Beras (Rice Milling Unit) _x000a_3. Perontok Padi (Thresher)" sqref="G498" xr:uid="{00000000-0002-0000-0000-000063010000}">
      <formula1>"1,2,3"</formula1>
    </dataValidation>
    <dataValidation type="whole" operator="greaterThanOrEqual" allowBlank="1" showInputMessage="1" showErrorMessage="1" promptTitle="Jlh Mayoritas alat P'tanian Desa" prompt="Input Menggunakan Angka" sqref="G499" xr:uid="{00000000-0002-0000-0000-000064010000}">
      <formula1>0</formula1>
    </dataValidation>
    <dataValidation type="whole" operator="greaterThanOrEqual" allowBlank="1" showInputMessage="1" showErrorMessage="1" promptTitle="Mayoritas alat P'ternakan Desa" prompt="1. Kandang Ternak_x000a_2. Rumah Potong  Hewan_x000a_3. Pasar Hewan" sqref="G500" xr:uid="{00000000-0002-0000-0000-000065010000}">
      <formula1>0</formula1>
    </dataValidation>
    <dataValidation type="whole" operator="greaterThanOrEqual" allowBlank="1" showInputMessage="1" showErrorMessage="1" promptTitle="Jlh Mayoritas alat P'ternak Desa" prompt="Input Menggunakan Angka" sqref="G501" xr:uid="{00000000-0002-0000-0000-000066010000}">
      <formula1>0</formula1>
    </dataValidation>
    <dataValidation type="list" operator="greaterThanOrEqual" allowBlank="1" showInputMessage="1" showErrorMessage="1" promptTitle="Mayoritas alat P'ikanan di Desa" prompt="1. Rumpon_x000a_2. Keramba Apung_x000a_3. Dermaga Perikanan _x000a_4. Tempat Pelelangan Ikan_x000a_5. Cold Storage_x000a_6. Kolam Ikan Air Tawar" sqref="G502" xr:uid="{00000000-0002-0000-0000-000067010000}">
      <formula1>"1,2,3,4,5,6"</formula1>
    </dataValidation>
    <dataValidation type="whole" operator="greaterThanOrEqual" allowBlank="1" showInputMessage="1" showErrorMessage="1" promptTitle="Jlh Mayoritas alat P'ikanan Desa" prompt="Input Menggunakan Angka" sqref="G503" xr:uid="{00000000-0002-0000-0000-000068010000}">
      <formula1>0</formula1>
    </dataValidation>
    <dataValidation type="list" showInputMessage="1" showErrorMessage="1" promptTitle="Kantor Bumdesa Bersama di desa" prompt="Terdapat Kantor Bumdes Bersama di Desa_x000a_0: Tidak Ada_x000a_1: Ada" sqref="G543" xr:uid="{00000000-0002-0000-0000-000069010000}">
      <formula1>"0,1"</formula1>
    </dataValidation>
    <dataValidation type="list" showInputMessage="1" showErrorMessage="1" promptTitle="Status Bumdesa Bersama" prompt="Status Bumdesa Bersama di Desa_x000a_0: Tidak Aktif_x000a_1: Aktif" sqref="G544" xr:uid="{00000000-0002-0000-0000-00006A010000}">
      <formula1>"0,1"</formula1>
    </dataValidation>
    <dataValidation type="list" showInputMessage="1" showErrorMessage="1" promptTitle="Status Bumdesa di Desa" prompt="Status Bumdes di Desa_x000a_0: Tidak Aktif_x000a_1: Aktif" sqref="G540" xr:uid="{00000000-0002-0000-0000-00006B010000}">
      <formula1>"0,1"</formula1>
    </dataValidation>
    <dataValidation type="list" showInputMessage="1" showErrorMessage="1" promptTitle="Tdapat Bumdesa Bid Bisnis Sosial" prompt="Terdapat Bumdesa bidang Bisnis Sosial_x000a_0: Tidak Ada_x000a_1: Ada" sqref="G545" xr:uid="{00000000-0002-0000-0000-00006C010000}">
      <formula1>"0,1"</formula1>
    </dataValidation>
    <dataValidation type="list" showInputMessage="1" showErrorMessage="1" promptTitle="Tdapat Bumdesa Bid Air Bersih" prompt="Terdapat Bumdesa Bisinis Sosial bidang Air Bersih_x000a_0: Tidak Ada_x000a_1: Ada" sqref="G546" xr:uid="{00000000-0002-0000-0000-00006D010000}">
      <formula1>"0,1"</formula1>
    </dataValidation>
    <dataValidation type="list" showInputMessage="1" showErrorMessage="1" promptTitle="Tdapat Bumdesa Bid Listrik" prompt="Terdapat Bumdesa Bisinis Sosial Bidang Listrik_x000a_0: Tidak Ada_x000a_1: Ada" sqref="G547" xr:uid="{00000000-0002-0000-0000-00006E010000}">
      <formula1>"0,1"</formula1>
    </dataValidation>
    <dataValidation type="list" showInputMessage="1" showErrorMessage="1" promptTitle="Tdapat Bumdesa Bid Sampah" prompt="Terdapat Bumdesa Bisinis Sosial Bidang Sampah_x000a_0: Tidak Ada_x000a_1: Ada" sqref="G548" xr:uid="{00000000-0002-0000-0000-00006F010000}">
      <formula1>"0,1"</formula1>
    </dataValidation>
    <dataValidation type="list" showInputMessage="1" showErrorMessage="1" promptTitle="Tdapat Bumdesa Bid Jasa" prompt="Terdapat Bumdesa Bisinis Sosial Bidang Jasa _x000a_0: Tidak Ada_x000a_1: Ada" sqref="G549" xr:uid="{00000000-0002-0000-0000-000070010000}">
      <formula1>"0,1"</formula1>
    </dataValidation>
    <dataValidation type="list" showInputMessage="1" showErrorMessage="1" promptTitle="Tdapat Bumdesa Jasa Penyewaan" prompt="Terdapat Bumdesa Jasa Penyewaan_x000a_0: Tidak Ada_x000a_1: Ada" sqref="G550" xr:uid="{00000000-0002-0000-0000-000071010000}">
      <formula1>"0,1"</formula1>
    </dataValidation>
    <dataValidation type="list" showInputMessage="1" showErrorMessage="1" promptTitle="Tdapat Bumdesa Jasa Penyewaan" prompt="Terdapat Bumdesa Jasa Penyewaan Bidang Sewa Tenda_x000a_0: Tidak Ada_x000a_1: Ada" sqref="G551" xr:uid="{00000000-0002-0000-0000-000072010000}">
      <formula1>"0,1"</formula1>
    </dataValidation>
    <dataValidation type="list" showInputMessage="1" showErrorMessage="1" promptTitle="Tdapat Bumdesa Jasa Penyewaan" prompt="Terdapat Bumdesa Jasa Penyewaan Bisinis Peralatan_x000a_0: Tidak Ada_x000a_1: Ada" sqref="G552" xr:uid="{00000000-0002-0000-0000-000073010000}">
      <formula1>"0,1"</formula1>
    </dataValidation>
    <dataValidation type="list" showInputMessage="1" showErrorMessage="1" promptTitle="Tdapat Bumdesa Perdagangan" prompt="Terdapat Bumdesa Perdagangan_x000a_0: Tidak Ada_x000a_1: Ada" sqref="G553" xr:uid="{00000000-0002-0000-0000-000074010000}">
      <formula1>"0,1"</formula1>
    </dataValidation>
    <dataValidation type="list" showInputMessage="1" showErrorMessage="1" promptTitle="Tdapat Bumdesa Perdagangan" prompt="Terdapat Bumdesa Perdagangan Bidang Pertanian_x000a_0: Tidak Ada_x000a_1: Ada" sqref="G554" xr:uid="{00000000-0002-0000-0000-000075010000}">
      <formula1>"0,1"</formula1>
    </dataValidation>
    <dataValidation type="list" showInputMessage="1" showErrorMessage="1" promptTitle="Tdapat Bumdesa Perdagangan" prompt="Terdapat Bumdesa Perdagangan Bidang Perkebunan_x000a_0: Tidak Ada_x000a_1: Ada" sqref="G556" xr:uid="{00000000-0002-0000-0000-000076010000}">
      <formula1>"0,1"</formula1>
    </dataValidation>
    <dataValidation type="list" showInputMessage="1" showErrorMessage="1" promptTitle="Tdapat Bumdesa Perdagangan" prompt="Terdapat Bumdesa Perdagangan Bidang Peternakan _x000a_0: Tidak Ada_x000a_1: Ada" sqref="G558" xr:uid="{00000000-0002-0000-0000-000077010000}">
      <formula1>"0,1"</formula1>
    </dataValidation>
    <dataValidation type="list" showInputMessage="1" showErrorMessage="1" promptTitle="Tdapat Bumdesa Keuangan" prompt="Terdapat Bumdesa Keuangan_x000a_0: Tidak Ada_x000a_1: Ada" sqref="G560" xr:uid="{00000000-0002-0000-0000-000078010000}">
      <formula1>"0,1"</formula1>
    </dataValidation>
    <dataValidation type="list" showInputMessage="1" showErrorMessage="1" promptTitle="Tdapat Bumdesa Keuangan" prompt="Terdapat Bumdesa Keuangan Bidang Simpan Pinjam _x000a_0: Tidak Ada_x000a_1: Ada" sqref="G561" xr:uid="{00000000-0002-0000-0000-000079010000}">
      <formula1>"0,1"</formula1>
    </dataValidation>
    <dataValidation type="list" showInputMessage="1" showErrorMessage="1" promptTitle="Tdapat Bumdesa Keuangan" prompt="Terdapat Bumdesa Keuangan Bidang UED SP _x000a_0: Tidak Ada_x000a_1: Ada" sqref="G562" xr:uid="{00000000-0002-0000-0000-00007A010000}">
      <formula1>"0,1"</formula1>
    </dataValidation>
    <dataValidation type="list" showInputMessage="1" showErrorMessage="1" promptTitle="Tdapat Bumdesa Keuangan" prompt="Terdapat Bumdesa Keuangan Bidang Mikro Finance_x000a_0: Tidak Ada_x000a_1: Ada" sqref="G563" xr:uid="{00000000-0002-0000-0000-00007B010000}">
      <formula1>"0,1"</formula1>
    </dataValidation>
    <dataValidation type="list" showInputMessage="1" showErrorMessage="1" promptTitle="Tdapat Bumdesa Keuangan" prompt="Terdapat Bumdesa Keuangan Bidang BRI Link _x000a_0: Tidak Ada_x000a_1: Ada" sqref="G564" xr:uid="{00000000-0002-0000-0000-00007C010000}">
      <formula1>"0,1"</formula1>
    </dataValidation>
    <dataValidation type="list" showInputMessage="1" showErrorMessage="1" promptTitle="Tdapat Bumdesa Keuangan" prompt="Terdapat Bumdesa Keuangan Bidang Agen 46_x000a_0: Tidak Ada_x000a_1: Ada" sqref="G565" xr:uid="{00000000-0002-0000-0000-00007D010000}">
      <formula1>"0,1"</formula1>
    </dataValidation>
    <dataValidation type="list" showInputMessage="1" showErrorMessage="1" promptTitle="Tdapat Bumdesa Keuangan" prompt="Terdapat Bumdesa Keuangan Bidang Kredit _x000a_0: Tidak Ada_x000a_1: Ada" sqref="G566" xr:uid="{00000000-0002-0000-0000-00007E010000}">
      <formula1>"0,1"</formula1>
    </dataValidation>
    <dataValidation type="list" showInputMessage="1" showErrorMessage="1" promptTitle="Tdapat Bumdesa Keuangan" prompt="Terdapat Bumdesa Keuangan Bidang Koperasi _x000a_0: Tidak Ada_x000a_1: Ada" sqref="G567" xr:uid="{00000000-0002-0000-0000-00007F010000}">
      <formula1>"0,1"</formula1>
    </dataValidation>
    <dataValidation type="list" showInputMessage="1" showErrorMessage="1" promptTitle="Tdapat Bumdesa Keuangan" prompt="Terdapat Bumdesa Keuangan Bidang PPOB _x000a_0: Tidak Ada_x000a_1: Ada" sqref="G568" xr:uid="{00000000-0002-0000-0000-000080010000}">
      <formula1>"0,1"</formula1>
    </dataValidation>
    <dataValidation type="list" showInputMessage="1" showErrorMessage="1" promptTitle="Tdapat Bumdesa Perantara" prompt="Terdapat Bumdesa Perantara Bidang Jasa_x000a_0: Tidak Ada_x000a_1: Ada" sqref="G570" xr:uid="{00000000-0002-0000-0000-000081010000}">
      <formula1>"0,1"</formula1>
    </dataValidation>
    <dataValidation type="list" showInputMessage="1" showErrorMessage="1" promptTitle="Tdapat Bumdesa Perantara" prompt="Terdapat Bumdesa Perantara Bidang Perbengkelan_x000a_0: Tidak Ada_x000a_1: Ada" sqref="G571" xr:uid="{00000000-0002-0000-0000-000082010000}">
      <formula1>"0,1"</formula1>
    </dataValidation>
    <dataValidation type="list" showInputMessage="1" showErrorMessage="1" promptTitle="Tdapat Bumdesa Perantara" prompt="Terdapat Bumdesa Perantara_x000a_0: Tidak Ada_x000a_1: Ada" sqref="G569" xr:uid="{00000000-0002-0000-0000-000083010000}">
      <formula1>"0,1"</formula1>
    </dataValidation>
    <dataValidation type="list" showInputMessage="1" showErrorMessage="1" promptTitle="Tdapat Bumdesa Perantara" prompt="Terdapat Bumdesa Perantara Bidang Toko/Kios_x000a_0: Tidak Ada_x000a_1: Ada" sqref="G572" xr:uid="{00000000-0002-0000-0000-000084010000}">
      <formula1>"0,1"</formula1>
    </dataValidation>
    <dataValidation type="list" showInputMessage="1" showErrorMessage="1" promptTitle="Tdapat Bumdesa Perantara" prompt="Terdapat Bumdesa Perantara Bidang Percetakan_x000a_0: Tidak Ada_x000a_1: Ada" sqref="G573" xr:uid="{00000000-0002-0000-0000-000085010000}">
      <formula1>"0,1"</formula1>
    </dataValidation>
    <dataValidation type="list" showInputMessage="1" showErrorMessage="1" promptTitle="Tdapat Bumdesa Perantara" prompt="Terdapat Bumdesa Perantara Bidang Photo Copy_x000a_0: Tidak Ada_x000a_1: Ada" sqref="G574" xr:uid="{00000000-0002-0000-0000-000086010000}">
      <formula1>"0,1"</formula1>
    </dataValidation>
    <dataValidation type="list" showInputMessage="1" showErrorMessage="1" promptTitle="Tdapat Bumdesa Perantara" prompt="Terdapat Bumdesa Perantara Bidang Penggilingan Padi_x000a_0: Tidak Ada_x000a_1: Ada" sqref="G575" xr:uid="{00000000-0002-0000-0000-000087010000}">
      <formula1>"0,1"</formula1>
    </dataValidation>
    <dataValidation type="list" showInputMessage="1" showErrorMessage="1" promptTitle="Tdapat Bumdesa Usaha" prompt="Terdapat Bumdesa Usaha Bidang Kelompok Usaha_x000a_0: Tidak Ada_x000a_1: Ada" sqref="G577" xr:uid="{00000000-0002-0000-0000-000088010000}">
      <formula1>"0,1"</formula1>
    </dataValidation>
    <dataValidation type="list" showInputMessage="1" showErrorMessage="1" promptTitle="Tdapat Bumdesa Usaha" prompt="Terdapat Bumdesa Usaha_x000a_0: Tidak Ada_x000a_1: Ada" sqref="G576" xr:uid="{00000000-0002-0000-0000-000089010000}">
      <formula1>"0,1"</formula1>
    </dataValidation>
    <dataValidation type="list" showInputMessage="1" showErrorMessage="1" promptTitle="Tdapat Bumdesa Usaha" prompt="Terdapat Bumdesa Usaha Bidang Penjualan Tiket_x000a_0: Tidak Ada_x000a_1: Ada" sqref="G578" xr:uid="{00000000-0002-0000-0000-00008A010000}">
      <formula1>"0,1"</formula1>
    </dataValidation>
    <dataValidation type="list" showInputMessage="1" showErrorMessage="1" promptTitle="Tdapat Bumdesa Usaha" prompt="Terdapat Bumdesa Usaha Bidang Karaoke_x000a_0: Tidak Ada_x000a_1: Ada" sqref="G579" xr:uid="{00000000-0002-0000-0000-00008B010000}">
      <formula1>"0,1"</formula1>
    </dataValidation>
    <dataValidation type="list" showInputMessage="1" showErrorMessage="1" promptTitle="Tdapat Bumdesa Pariwisata" prompt="Terdapat Bumdesa Parawisita _x000a_0: Tidak Ada_x000a_1: Ada" sqref="G580" xr:uid="{00000000-0002-0000-0000-00008C010000}">
      <formula1>"0,1"</formula1>
    </dataValidation>
    <dataValidation type="list" showInputMessage="1" showErrorMessage="1" promptTitle="Tdapat Bumdesa Pariwisata" prompt="Terdapat Bumdesa Parawisita Bidang Wisata Desa_x000a_0: Tidak Ada_x000a_1: Ada" sqref="G581" xr:uid="{00000000-0002-0000-0000-00008D010000}">
      <formula1>"0,1"</formula1>
    </dataValidation>
    <dataValidation type="list" showInputMessage="1" showErrorMessage="1" promptTitle="Tdapat Bumdesa Pariwisata" prompt="Terdapat Bumdesa Parawisita Bidang Agrowisata_x000a_0: Tidak Ada_x000a_1: Ada" sqref="G582" xr:uid="{00000000-0002-0000-0000-00008E010000}">
      <formula1>"0,1"</formula1>
    </dataValidation>
    <dataValidation type="list" showInputMessage="1" showErrorMessage="1" promptTitle="Tdapat Bumdesa Pariwisata" prompt="Terdapat Bumdesa Parawisita Bidang Wisata Alam_x000a_0: Tidak Ada_x000a_1: Ada" sqref="G583" xr:uid="{00000000-0002-0000-0000-00008F010000}">
      <formula1>"0,1"</formula1>
    </dataValidation>
    <dataValidation allowBlank="1" showInputMessage="1" showErrorMessage="1" promptTitle="Tahun Pembentukan Bumdes" prompt="Input Menggunakan Angka" sqref="G590" xr:uid="{00000000-0002-0000-0000-000090010000}"/>
    <dataValidation type="whole" operator="greaterThanOrEqual" allowBlank="1" showInputMessage="1" showErrorMessage="1" promptTitle="Total Tenaga Kerja Bumdes" prompt=" " sqref="G591" xr:uid="{00000000-0002-0000-0000-000091010000}">
      <formula1>0</formula1>
    </dataValidation>
    <dataValidation allowBlank="1" showInputMessage="1" showErrorMessage="1" promptTitle="Nama Pengelola Bumdesa" prompt=" " sqref="G592" xr:uid="{00000000-0002-0000-0000-000092010000}"/>
    <dataValidation allowBlank="1" showInputMessage="1" showErrorMessage="1" promptTitle="Nama Ketua Bumdesa" prompt=" " sqref="G593" xr:uid="{00000000-0002-0000-0000-000093010000}"/>
    <dataValidation allowBlank="1" showInputMessage="1" showErrorMessage="1" promptTitle="Nama Sekretaris Bumdesa" prompt=" " sqref="G594" xr:uid="{00000000-0002-0000-0000-000094010000}"/>
    <dataValidation allowBlank="1" showInputMessage="1" showErrorMessage="1" promptTitle="Nama Bendahara Bumdesa" prompt=" " sqref="G595" xr:uid="{00000000-0002-0000-0000-000095010000}"/>
    <dataValidation type="whole" operator="greaterThanOrEqual" allowBlank="1" showInputMessage="1" showErrorMessage="1" promptTitle="Total Anggota Bumdes" prompt=" " sqref="G596" xr:uid="{00000000-0002-0000-0000-000096010000}">
      <formula1>0</formula1>
    </dataValidation>
    <dataValidation allowBlank="1" showInputMessage="1" showErrorMessage="1" promptTitle="SK Pengelolaan Bumdesa" prompt=" " sqref="G597" xr:uid="{00000000-0002-0000-0000-000097010000}"/>
    <dataValidation allowBlank="1" showInputMessage="1" showErrorMessage="1" promptTitle="Alamat Email Bumdesa" prompt=" " sqref="G598" xr:uid="{00000000-0002-0000-0000-000098010000}"/>
    <dataValidation allowBlank="1" showInputMessage="1" showErrorMessage="1" promptTitle="Jumlah Unit Bidang Bumdesa" prompt="TERHITUNG SECARA OTOMATIS" sqref="G587" xr:uid="{00000000-0002-0000-0000-000099010000}"/>
    <dataValidation allowBlank="1" showInputMessage="1" showErrorMessage="1" promptTitle="Nomor Telp Petugas yg Aktif" prompt=" " sqref="G8" xr:uid="{00000000-0002-0000-0000-00009A010000}"/>
    <dataValidation allowBlank="1" showInputMessage="1" showErrorMessage="1" promptTitle="Nomor Telp Informan Aktif" prompt=" " sqref="G12" xr:uid="{00000000-0002-0000-0000-00009B010000}"/>
    <dataValidation type="whole" operator="greaterThanOrEqual" allowBlank="1" showInputMessage="1" showErrorMessage="1" promptTitle="Sekretaris Desa Laki-Laki" prompt=" " sqref="G41" xr:uid="{00000000-0002-0000-0000-00009C010000}">
      <formula1>0</formula1>
    </dataValidation>
    <dataValidation type="whole" operator="greaterThanOrEqual" allowBlank="1" showInputMessage="1" showErrorMessage="1" promptTitle="Sekretaris Desa Perempuan" prompt=" " sqref="G42" xr:uid="{00000000-0002-0000-0000-00009D010000}">
      <formula1>0</formula1>
    </dataValidation>
    <dataValidation type="whole" operator="greaterThanOrEqual" allowBlank="1" showInputMessage="1" showErrorMessage="1" promptTitle="Ketua RT" prompt="Ketua RT Laki-Laki" sqref="G67" xr:uid="{00000000-0002-0000-0000-00009E010000}">
      <formula1>0</formula1>
    </dataValidation>
    <dataValidation type="whole" operator="greaterThanOrEqual" allowBlank="1" showInputMessage="1" showErrorMessage="1" promptTitle="Ketua RT" prompt="Ketua RT Perempuan" sqref="G68" xr:uid="{00000000-0002-0000-0000-00009F010000}">
      <formula1>0</formula1>
    </dataValidation>
    <dataValidation type="whole" operator="greaterThanOrEqual" allowBlank="1" showInputMessage="1" showErrorMessage="1" promptTitle="Kepala Urusan Keuangan" prompt="Kepala Urusan Keuangan Laki-Laki" sqref="G45" xr:uid="{00000000-0002-0000-0000-0000A0010000}">
      <formula1>0</formula1>
    </dataValidation>
    <dataValidation type="whole" operator="greaterThanOrEqual" allowBlank="1" showInputMessage="1" showErrorMessage="1" promptTitle="Kepala Urusan Keuangan" prompt="Kepala Urusan Keuangan Perempuan" sqref="G46" xr:uid="{00000000-0002-0000-0000-0000A1010000}">
      <formula1>0</formula1>
    </dataValidation>
    <dataValidation type="whole" operator="greaterThanOrEqual" allowBlank="1" showInputMessage="1" showErrorMessage="1" promptTitle="Kepala Kaur TU&amp; Umum " prompt="Kepala Urusan Tata Usaha dan Umum Laki-Laki" sqref="G43" xr:uid="{00000000-0002-0000-0000-0000A2010000}">
      <formula1>0</formula1>
    </dataValidation>
    <dataValidation type="whole" operator="greaterThanOrEqual" allowBlank="1" showInputMessage="1" showErrorMessage="1" promptTitle="Kepala Kaur TU &amp; Umum" prompt="Kepala Urusan Tata Usaha dan Umum Perempuan" sqref="G44" xr:uid="{00000000-0002-0000-0000-0000A3010000}">
      <formula1>0</formula1>
    </dataValidation>
    <dataValidation type="whole" operator="greaterThanOrEqual" allowBlank="1" showInputMessage="1" showErrorMessage="1" promptTitle="Kepala Kaur Perencanaan" prompt="Kepala Urusan Perencanaan Laki-Laki" sqref="G47" xr:uid="{00000000-0002-0000-0000-0000A4010000}">
      <formula1>0</formula1>
    </dataValidation>
    <dataValidation type="whole" operator="greaterThanOrEqual" allowBlank="1" showInputMessage="1" showErrorMessage="1" promptTitle="Kepala Urusan Perencanaan" prompt="Kepala Urusan Perencanaan Perempuan" sqref="G48" xr:uid="{00000000-0002-0000-0000-0000A5010000}">
      <formula1>0</formula1>
    </dataValidation>
    <dataValidation type="whole" operator="greaterThanOrEqual" allowBlank="1" showInputMessage="1" showErrorMessage="1" promptTitle="Kepala Seksi Pemerintahan" prompt="Kepala Seksi Pemerintahan Laki-Laki" sqref="G49" xr:uid="{00000000-0002-0000-0000-0000A6010000}">
      <formula1>0</formula1>
    </dataValidation>
    <dataValidation type="whole" operator="greaterThanOrEqual" allowBlank="1" showInputMessage="1" showErrorMessage="1" promptTitle="Kepala Seksi Pemerintahan" prompt="Kepala Seksi Pemerintahan Perempuan" sqref="G50" xr:uid="{00000000-0002-0000-0000-0000A7010000}">
      <formula1>0</formula1>
    </dataValidation>
    <dataValidation type="whole" operator="greaterThanOrEqual" allowBlank="1" showInputMessage="1" showErrorMessage="1" promptTitle="Kepala Seksi Kesejahteraan" prompt="Kepala Seksi Kesejahteraan Laki-Laki" sqref="G51" xr:uid="{00000000-0002-0000-0000-0000A8010000}">
      <formula1>0</formula1>
    </dataValidation>
    <dataValidation type="whole" operator="greaterThanOrEqual" allowBlank="1" showInputMessage="1" showErrorMessage="1" promptTitle="Kepala Seksi Kesejahteraan" prompt="Kepala Seksi Kesejahteraan Perempuan" sqref="G52" xr:uid="{00000000-0002-0000-0000-0000A9010000}">
      <formula1>0</formula1>
    </dataValidation>
    <dataValidation type="whole" operator="greaterThanOrEqual" allowBlank="1" showInputMessage="1" showErrorMessage="1" promptTitle="Kepala Seksi Pelayanan" prompt="Kepala Seksi Pelayanan Laki-Laki" sqref="G53" xr:uid="{00000000-0002-0000-0000-0000AA010000}">
      <formula1>0</formula1>
    </dataValidation>
    <dataValidation type="whole" operator="greaterThanOrEqual" allowBlank="1" showInputMessage="1" showErrorMessage="1" promptTitle="Kepala Seksi Pelayanan" prompt="Kepala Seksi Pelayanan Perempuan" sqref="G54" xr:uid="{00000000-0002-0000-0000-0000AB010000}">
      <formula1>0</formula1>
    </dataValidation>
    <dataValidation type="whole" operator="greaterThanOrEqual" allowBlank="1" showInputMessage="1" showErrorMessage="1" promptTitle="Staf Petugas Desa" prompt="Staf Petugas Desa Laki-Laki" sqref="G55" xr:uid="{00000000-0002-0000-0000-0000AC010000}">
      <formula1>0</formula1>
    </dataValidation>
    <dataValidation type="whole" operator="greaterThanOrEqual" allowBlank="1" showInputMessage="1" showErrorMessage="1" promptTitle="Staf Petugas Desa " prompt="Staf Petugas Desa Perempuan" sqref="G56" xr:uid="{00000000-0002-0000-0000-0000AD010000}">
      <formula1>0</formula1>
    </dataValidation>
    <dataValidation type="whole" operator="greaterThanOrEqual" allowBlank="1" showInputMessage="1" showErrorMessage="1" promptTitle="BPD dan Anggota" prompt="BPD dan Anggota Laki-Laki" sqref="G57" xr:uid="{00000000-0002-0000-0000-0000AE010000}">
      <formula1>0</formula1>
    </dataValidation>
    <dataValidation type="whole" operator="greaterThanOrEqual" allowBlank="1" showInputMessage="1" showErrorMessage="1" promptTitle="BPD dan Anggota" prompt="BPD dan Anggota Perempuan" sqref="G58" xr:uid="{00000000-0002-0000-0000-0000AF010000}">
      <formula1>0</formula1>
    </dataValidation>
    <dataValidation type="whole" operator="greaterThanOrEqual" allowBlank="1" showInputMessage="1" showErrorMessage="1" promptTitle="LPM dan Anggota" prompt="LPM dan Anggota Laki-Laki" sqref="G59" xr:uid="{00000000-0002-0000-0000-0000B0010000}">
      <formula1>0</formula1>
    </dataValidation>
    <dataValidation type="whole" operator="greaterThanOrEqual" allowBlank="1" showInputMessage="1" showErrorMessage="1" promptTitle="LPM dan Anggota" prompt="LPM dan Anggota Perempuan" sqref="G60" xr:uid="{00000000-0002-0000-0000-0000B1010000}">
      <formula1>0</formula1>
    </dataValidation>
    <dataValidation type="whole" operator="greaterThanOrEqual" allowBlank="1" showInputMessage="1" showErrorMessage="1" promptTitle="TP. PKK Desa" prompt="TP. PKK Desa Laki-Laki" sqref="G61" xr:uid="{00000000-0002-0000-0000-0000B2010000}">
      <formula1>0</formula1>
    </dataValidation>
    <dataValidation type="whole" operator="greaterThanOrEqual" allowBlank="1" showInputMessage="1" showErrorMessage="1" promptTitle="TP. PKK Desa" prompt="TP. PKK Desa Perempuan" sqref="G62" xr:uid="{00000000-0002-0000-0000-0000B3010000}">
      <formula1>0</formula1>
    </dataValidation>
    <dataValidation type="whole" operator="greaterThanOrEqual" allowBlank="1" showInputMessage="1" showErrorMessage="1" promptTitle="Kepala Dusun" prompt="Kepala Dusun Laki-Laki" sqref="G63" xr:uid="{00000000-0002-0000-0000-0000B4010000}">
      <formula1>0</formula1>
    </dataValidation>
    <dataValidation type="whole" operator="greaterThanOrEqual" allowBlank="1" showInputMessage="1" showErrorMessage="1" promptTitle="Kepala Dusun" prompt="Kepala Dusun Perempuan" sqref="G64" xr:uid="{00000000-0002-0000-0000-0000B5010000}">
      <formula1>0</formula1>
    </dataValidation>
    <dataValidation type="whole" operator="greaterThanOrEqual" allowBlank="1" showInputMessage="1" showErrorMessage="1" promptTitle="Ketua RW" prompt="Ketua RW Laki-Laki" sqref="G65" xr:uid="{00000000-0002-0000-0000-0000B6010000}">
      <formula1>0</formula1>
    </dataValidation>
    <dataValidation type="whole" operator="greaterThanOrEqual" allowBlank="1" showInputMessage="1" showErrorMessage="1" promptTitle="Ketua RW" prompt="Ketua RW Perempuan" sqref="G66" xr:uid="{00000000-0002-0000-0000-0000B7010000}">
      <formula1>0</formula1>
    </dataValidation>
    <dataValidation type="whole" operator="greaterThanOrEqual" allowBlank="1" showInputMessage="1" showErrorMessage="1" promptTitle="Total Luas Wilayah Desa" prompt="(Dalam Satuan Luas Km2)" sqref="G72" xr:uid="{00000000-0002-0000-0000-0000B8010000}">
      <formula1>0</formula1>
    </dataValidation>
    <dataValidation type="whole" operator="greaterThanOrEqual" allowBlank="1" showInputMessage="1" showErrorMessage="1" promptTitle="Total Luas Hitan Desa" prompt="(Dalam Satuan Luas Km2)" sqref="G73" xr:uid="{00000000-0002-0000-0000-0000B9010000}">
      <formula1>0</formula1>
    </dataValidation>
    <dataValidation type="whole" operator="greaterThanOrEqual" allowBlank="1" showInputMessage="1" showErrorMessage="1" promptTitle="Jumlah Penduduk Laki-Laki" prompt="Input Menggunakan Angka" sqref="G80" xr:uid="{00000000-0002-0000-0000-0000BA010000}">
      <formula1>0</formula1>
    </dataValidation>
    <dataValidation type="whole" operator="greaterThanOrEqual" allowBlank="1" showInputMessage="1" showErrorMessage="1" promptTitle="Jumlah Penduduk Perempuan" prompt="Input Menggunakan Angka" sqref="G81" xr:uid="{00000000-0002-0000-0000-0000BB010000}">
      <formula1>0</formula1>
    </dataValidation>
    <dataValidation type="whole" operator="greaterThanOrEqual" allowBlank="1" showInputMessage="1" showErrorMessage="1" promptTitle="Jumlah Penduduk Pendatang TA2020" prompt="Input Menggunakan Angka" sqref="G82" xr:uid="{00000000-0002-0000-0000-0000BC010000}">
      <formula1>0</formula1>
    </dataValidation>
    <dataValidation type="whole" operator="greaterThanOrEqual" allowBlank="1" showInputMessage="1" showErrorMessage="1" promptTitle="Jumlah Penduduk Pergi Tahun 2020" prompt="Input Menggunakan Angka" sqref="G83" xr:uid="{00000000-0002-0000-0000-0000BD010000}">
      <formula1>0</formula1>
    </dataValidation>
    <dataValidation type="whole" operator="greaterThanOrEqual" allowBlank="1" showInputMessage="1" showErrorMessage="1" promptTitle="Total Kepala Keluarga di Desa" prompt=" " sqref="G85" xr:uid="{00000000-0002-0000-0000-0000BE010000}">
      <formula1>0</formula1>
    </dataValidation>
    <dataValidation type="whole" operator="greaterThanOrEqual" allowBlank="1" showInputMessage="1" showErrorMessage="1" promptTitle="Total Kepala Keluarga Perempuan" prompt=" " sqref="G86" xr:uid="{00000000-0002-0000-0000-0000BF010000}">
      <formula1>0</formula1>
    </dataValidation>
    <dataValidation type="whole" operator="greaterThanOrEqual" allowBlank="1" showInputMessage="1" showErrorMessage="1" promptTitle="Jumlah Kepala Keluarga Miskin" prompt=" " sqref="G87" xr:uid="{00000000-0002-0000-0000-0000C0010000}">
      <formula1>0</formula1>
    </dataValidation>
    <dataValidation type="whole" operator="greaterThanOrEqual" allowBlank="1" showInputMessage="1" showErrorMessage="1" promptTitle="Penduduk Berdasarkan Usia" prompt="&lt;1 Tahun" sqref="G89" xr:uid="{00000000-0002-0000-0000-0000C1010000}">
      <formula1>0</formula1>
    </dataValidation>
    <dataValidation type="whole" operator="greaterThanOrEqual" allowBlank="1" showInputMessage="1" showErrorMessage="1" promptTitle="Penduduk Berdasarkan Usia" prompt="1 - 4 Tahun" sqref="G90" xr:uid="{00000000-0002-0000-0000-0000C2010000}">
      <formula1>0</formula1>
    </dataValidation>
    <dataValidation type="whole" operator="greaterThanOrEqual" allowBlank="1" showInputMessage="1" showErrorMessage="1" promptTitle="Penduduk Berdasarkan Usia" prompt="5 - 14 Tahun" sqref="G91" xr:uid="{00000000-0002-0000-0000-0000C3010000}">
      <formula1>0</formula1>
    </dataValidation>
    <dataValidation type="whole" operator="greaterThanOrEqual" allowBlank="1" showInputMessage="1" showErrorMessage="1" promptTitle="Penduduk Berdasarkan Usia" prompt="15 - 39 Tahun" sqref="G92" xr:uid="{00000000-0002-0000-0000-0000C4010000}">
      <formula1>0</formula1>
    </dataValidation>
    <dataValidation type="whole" operator="greaterThanOrEqual" allowBlank="1" showInputMessage="1" showErrorMessage="1" promptTitle="Penduduk Berdasarkan Usia" prompt="40 - 64 Tahun" sqref="G93" xr:uid="{00000000-0002-0000-0000-0000C5010000}">
      <formula1>0</formula1>
    </dataValidation>
    <dataValidation type="whole" operator="greaterThanOrEqual" allowBlank="1" showInputMessage="1" showErrorMessage="1" promptTitle="Penduduk Berdasarkan Usia" prompt="65 Tahun ke Atas" sqref="G94" xr:uid="{00000000-0002-0000-0000-0000C6010000}">
      <formula1>0</formula1>
    </dataValidation>
    <dataValidation type="whole" operator="greaterThanOrEqual" allowBlank="1" showInputMessage="1" showErrorMessage="1" promptTitle="Jumlah Pekerjaan Petani" prompt="Jumlah Pekerja Petani Laki-Laki" sqref="G96" xr:uid="{00000000-0002-0000-0000-0000C7010000}">
      <formula1>0</formula1>
    </dataValidation>
    <dataValidation type="whole" operator="greaterThanOrEqual" allowBlank="1" showInputMessage="1" showErrorMessage="1" promptTitle="Jumlah Pekerjaan Petani" prompt="Jumlah Pekerja Petani Perempuan" sqref="G97" xr:uid="{00000000-0002-0000-0000-0000C8010000}">
      <formula1>0</formula1>
    </dataValidation>
    <dataValidation type="whole" operator="greaterThanOrEqual" allowBlank="1" showInputMessage="1" showErrorMessage="1" promptTitle="Jumlah Pekerjaan Nelayan" prompt="Jumlah Pekerja Nelayan Laki-Laki" sqref="G98" xr:uid="{00000000-0002-0000-0000-0000C9010000}">
      <formula1>0</formula1>
    </dataValidation>
    <dataValidation type="whole" operator="greaterThanOrEqual" allowBlank="1" showInputMessage="1" showErrorMessage="1" promptTitle="Jumlah Pekerjaan Nelayan" prompt="Jumlah Pekerja Nelayan Perempuan" sqref="G99" xr:uid="{00000000-0002-0000-0000-0000CA010000}">
      <formula1>0</formula1>
    </dataValidation>
    <dataValidation type="whole" operator="greaterThanOrEqual" allowBlank="1" showInputMessage="1" showErrorMessage="1" promptTitle="Jumlah Pekerjaan Buruh" prompt="Jumlah Pekerja Buruh Tani/ Nelayan Laki-Laki" sqref="G100" xr:uid="{00000000-0002-0000-0000-0000CB010000}">
      <formula1>0</formula1>
    </dataValidation>
    <dataValidation type="whole" operator="greaterThanOrEqual" allowBlank="1" showInputMessage="1" showErrorMessage="1" promptTitle="Jumlah Pekerjaan Buruh" prompt="Jumlah Pekerja Buruh/ Nelayan Perempuan" sqref="G101" xr:uid="{00000000-0002-0000-0000-0000CC010000}">
      <formula1>0</formula1>
    </dataValidation>
    <dataValidation type="whole" operator="greaterThanOrEqual" allowBlank="1" showInputMessage="1" showErrorMessage="1" promptTitle="Jumlah Pekerjaan Buruh Pabrik" prompt="Jumlah Pekerja Buruh Pabrik Laki-Laki" sqref="G102" xr:uid="{00000000-0002-0000-0000-0000CD010000}">
      <formula1>0</formula1>
    </dataValidation>
    <dataValidation type="whole" operator="greaterThanOrEqual" allowBlank="1" showInputMessage="1" showErrorMessage="1" promptTitle="Jumlah Pekerjaan Buruh Pabrik" prompt="Jumlah Pekerja Buruh Pabrik Perempuan" sqref="G103" xr:uid="{00000000-0002-0000-0000-0000CE010000}">
      <formula1>0</formula1>
    </dataValidation>
    <dataValidation type="whole" operator="greaterThanOrEqual" allowBlank="1" showInputMessage="1" showErrorMessage="1" promptTitle="Jumlah Pekerjaan PNS" prompt="Jumlah Pekerja PNS Laki-Laki" sqref="G104" xr:uid="{00000000-0002-0000-0000-0000CF010000}">
      <formula1>0</formula1>
    </dataValidation>
    <dataValidation type="whole" operator="greaterThanOrEqual" allowBlank="1" showInputMessage="1" showErrorMessage="1" promptTitle="Jumlah Pekerjaan PNS" prompt="Jumlah Pekerja PNS Perempuan" sqref="G105" xr:uid="{00000000-0002-0000-0000-0000D0010000}">
      <formula1>0</formula1>
    </dataValidation>
    <dataValidation type="whole" operator="greaterThanOrEqual" allowBlank="1" showInputMessage="1" showErrorMessage="1" promptTitle="Jumlah Pekerjaan Swasta" prompt="Jumlah Pekerja Swasta Laki-Laki" sqref="G106" xr:uid="{00000000-0002-0000-0000-0000D1010000}">
      <formula1>0</formula1>
    </dataValidation>
    <dataValidation type="whole" operator="greaterThanOrEqual" allowBlank="1" showInputMessage="1" showErrorMessage="1" promptTitle="Jumlah Pekerjaan Swasta" prompt="Jumlah Pekerja Swasta Perempuan" sqref="G107" xr:uid="{00000000-0002-0000-0000-0000D2010000}">
      <formula1>0</formula1>
    </dataValidation>
    <dataValidation type="whole" operator="greaterThanOrEqual" allowBlank="1" showInputMessage="1" showErrorMessage="1" promptTitle="Jumlah Pekerjaan Wiraswasta" prompt="Jumlah Pekerja Wiraswasta Laki-Laki" sqref="G108" xr:uid="{00000000-0002-0000-0000-0000D3010000}">
      <formula1>0</formula1>
    </dataValidation>
    <dataValidation type="whole" operator="greaterThanOrEqual" allowBlank="1" showInputMessage="1" showErrorMessage="1" promptTitle="Jumlah Pekerjaan Wiraswasta" prompt="Jumlah Pekerja Wirasawasta Perempuan" sqref="G109" xr:uid="{00000000-0002-0000-0000-0000D4010000}">
      <formula1>0</formula1>
    </dataValidation>
    <dataValidation type="whole" operator="greaterThanOrEqual" allowBlank="1" showInputMessage="1" showErrorMessage="1" promptTitle="Jumlah Pekerjaan TNI" prompt="Jumlah Pekerja TNI Laki-Laki" sqref="G110" xr:uid="{00000000-0002-0000-0000-0000D5010000}">
      <formula1>0</formula1>
    </dataValidation>
    <dataValidation type="whole" operator="greaterThanOrEqual" allowBlank="1" showInputMessage="1" showErrorMessage="1" promptTitle="Jumlah Pekerjaan TNI" prompt="Jumlah Pekerja TNI Perempuan" sqref="G111" xr:uid="{00000000-0002-0000-0000-0000D6010000}">
      <formula1>0</formula1>
    </dataValidation>
    <dataValidation type="whole" operator="greaterThanOrEqual" allowBlank="1" showInputMessage="1" showErrorMessage="1" promptTitle="Jumlah Pekerjaan Polri" prompt="Jumlah Pekerja Polri Laki-Laki" sqref="G112" xr:uid="{00000000-0002-0000-0000-0000D7010000}">
      <formula1>0</formula1>
    </dataValidation>
    <dataValidation type="whole" operator="greaterThanOrEqual" allowBlank="1" showInputMessage="1" showErrorMessage="1" promptTitle="Jumlah Pekerjaan Polri" prompt="Jumlah Pekerja Polri Perempuan" sqref="G113" xr:uid="{00000000-0002-0000-0000-0000D8010000}">
      <formula1>0</formula1>
    </dataValidation>
    <dataValidation type="whole" operator="greaterThanOrEqual" allowBlank="1" showInputMessage="1" showErrorMessage="1" promptTitle="Jumlah Pekerjaan Dokter" prompt="Jumlah Pekerja Dokter Laki-Laki" sqref="G114" xr:uid="{00000000-0002-0000-0000-0000D9010000}">
      <formula1>0</formula1>
    </dataValidation>
    <dataValidation type="whole" operator="greaterThanOrEqual" allowBlank="1" showInputMessage="1" showErrorMessage="1" promptTitle="Jumlah Pekerjaan Dokter" prompt="Jumlah Pekerja Dokter Perempuan" sqref="G115" xr:uid="{00000000-0002-0000-0000-0000DA010000}">
      <formula1>0</formula1>
    </dataValidation>
    <dataValidation type="whole" operator="greaterThanOrEqual" allowBlank="1" showInputMessage="1" showErrorMessage="1" promptTitle="Jumlah Pekerja Bidan" prompt=" " sqref="G116" xr:uid="{00000000-0002-0000-0000-0000DB010000}">
      <formula1>0</formula1>
    </dataValidation>
    <dataValidation type="whole" operator="greaterThanOrEqual" allowBlank="1" showInputMessage="1" showErrorMessage="1" promptTitle="Jumlah Pekerjaan Perawat" prompt="Jumlah Pekerja Perawat Laki-Laki" sqref="G117" xr:uid="{00000000-0002-0000-0000-0000DC010000}">
      <formula1>0</formula1>
    </dataValidation>
    <dataValidation type="whole" operator="greaterThanOrEqual" allowBlank="1" showInputMessage="1" showErrorMessage="1" promptTitle="Jumlah Pekerjaan Perawat" prompt="Jumlah Pekerja Perawat Perempuan" sqref="G118" xr:uid="{00000000-0002-0000-0000-0000DD010000}">
      <formula1>0</formula1>
    </dataValidation>
    <dataValidation type="whole" operator="greaterThanOrEqual" allowBlank="1" showInputMessage="1" showErrorMessage="1" promptTitle="Jumlah Pekerjaan Lainnya" prompt=" " sqref="G122" xr:uid="{00000000-0002-0000-0000-0000DE010000}">
      <formula1>0</formula1>
    </dataValidation>
    <dataValidation type="whole" operator="greaterThanOrEqual" allowBlank="1" showInputMessage="1" showErrorMessage="1" promptTitle="Jumlah Pekerjaan Lainnya" prompt=" TERHITUNG SECARA OTOMATIS" sqref="G121" xr:uid="{00000000-0002-0000-0000-0000DF010000}">
      <formula1>0</formula1>
    </dataValidation>
    <dataValidation type="whole" operator="greaterThanOrEqual" allowBlank="1" showInputMessage="1" showErrorMessage="1" promptTitle="Jumlah Pekerjaan Lainnya" prompt="Jumlah Pekerja Lainnya Laki-Laki" sqref="G119" xr:uid="{00000000-0002-0000-0000-0000E0010000}">
      <formula1>0</formula1>
    </dataValidation>
    <dataValidation type="whole" operator="greaterThanOrEqual" allowBlank="1" showInputMessage="1" showErrorMessage="1" promptTitle="Jumlah Pekerjaan Lainnya" prompt="Jumlah Pekerja Lainnya Perempuan" sqref="G120" xr:uid="{00000000-0002-0000-0000-0000E1010000}">
      <formula1>0</formula1>
    </dataValidation>
    <dataValidation type="whole" operator="greaterThanOrEqual" allowBlank="1" showInputMessage="1" showErrorMessage="1" promptTitle="Jumlah Pekerjaan PBK" prompt="Jumlah Pekerja Penyandang Kebutuhan Khusus Perempuan" sqref="G123:G124" xr:uid="{00000000-0002-0000-0000-0000E2010000}">
      <formula1>0</formula1>
    </dataValidation>
    <dataValidation type="decimal" operator="greaterThanOrEqual" allowBlank="1" showInputMessage="1" showErrorMessage="1" promptTitle="Jarak Rumah Sakit Terdekat" prompt="(Meter)" sqref="G133" xr:uid="{00000000-0002-0000-0000-0000E3010000}">
      <formula1>0</formula1>
    </dataValidation>
    <dataValidation type="decimal" operator="greaterThanOrEqual" allowBlank="1" showInputMessage="1" showErrorMessage="1" promptTitle="Jarak RS Bersalin Terdekat" prompt="(Meter)" sqref="G137 G153" xr:uid="{00000000-0002-0000-0000-0000E4010000}">
      <formula1>0</formula1>
    </dataValidation>
    <dataValidation type="decimal" operator="greaterThanOrEqual" allowBlank="1" showInputMessage="1" showErrorMessage="1" promptTitle="Jarak Puskesmat Inap Terdekat" prompt="(Meter)" sqref="G141" xr:uid="{00000000-0002-0000-0000-0000E5010000}">
      <formula1>0</formula1>
    </dataValidation>
    <dataValidation type="decimal" operator="greaterThanOrEqual" allowBlank="1" showInputMessage="1" showErrorMessage="1" promptTitle="Jarak Puskesmas Non Inap Tdekat" prompt="(Meter)" sqref="G145" xr:uid="{00000000-0002-0000-0000-0000E6010000}">
      <formula1>0</formula1>
    </dataValidation>
    <dataValidation type="decimal" operator="greaterThanOrEqual" allowBlank="1" showInputMessage="1" showErrorMessage="1" promptTitle="Jarak Pustu Terdekat" prompt="(Meter)" sqref="G149" xr:uid="{00000000-0002-0000-0000-0000E7010000}">
      <formula1>0</formula1>
    </dataValidation>
    <dataValidation type="decimal" operator="greaterThanOrEqual" allowBlank="1" showInputMessage="1" showErrorMessage="1" promptTitle="Poliklinik/Balai P'obatan Tdekat" prompt="(Meter)" sqref="G157" xr:uid="{00000000-0002-0000-0000-0000E8010000}">
      <formula1>0</formula1>
    </dataValidation>
    <dataValidation type="decimal" operator="greaterThanOrEqual" allowBlank="1" showInputMessage="1" showErrorMessage="1" promptTitle="Jarak Prakter Dokter Terdekat" prompt="(Meter)" sqref="G161" xr:uid="{00000000-0002-0000-0000-0000E9010000}">
      <formula1>0</formula1>
    </dataValidation>
    <dataValidation type="decimal" operator="greaterThanOrEqual" allowBlank="1" showInputMessage="1" showErrorMessage="1" promptTitle="Jarak Bidan Terdekat" prompt="(Meter)" sqref="G165" xr:uid="{00000000-0002-0000-0000-0000EA010000}">
      <formula1>0</formula1>
    </dataValidation>
    <dataValidation type="decimal" operator="greaterThanOrEqual" allowBlank="1" showInputMessage="1" showErrorMessage="1" promptTitle="Jarak Apotik Terdekat" prompt="(Meter)" sqref="G169" xr:uid="{00000000-0002-0000-0000-0000EB010000}">
      <formula1>0</formula1>
    </dataValidation>
    <dataValidation type="whole" operator="greaterThanOrEqual" allowBlank="1" showInputMessage="1" showErrorMessage="1" promptTitle="Jumlah Bidan Desa (BDD)" prompt="Input Menggunakan Angka" sqref="G173" xr:uid="{00000000-0002-0000-0000-0000EC010000}">
      <formula1>0</formula1>
    </dataValidation>
    <dataValidation type="whole" operator="greaterThanOrEqual" allowBlank="1" showInputMessage="1" showErrorMessage="1" promptTitle="Jumlah Dokter Praktek di Desa" prompt="Input Menggunakan Angka" sqref="G176" xr:uid="{00000000-0002-0000-0000-0000ED010000}">
      <formula1>0</formula1>
    </dataValidation>
    <dataValidation type="whole" operator="greaterThanOrEqual" allowBlank="1" showInputMessage="1" showErrorMessage="1" promptTitle="Jumlah Tenaga Nakes Lainnya" prompt="Input Menggunakan Angka" sqref="G179" xr:uid="{00000000-0002-0000-0000-0000EE010000}">
      <formula1>0</formula1>
    </dataValidation>
    <dataValidation type="decimal" operator="greaterThanOrEqual" allowBlank="1" showInputMessage="1" showErrorMessage="1" promptTitle="Jarak Poskesdes/ Polindes Tdekat" prompt="(Meter)" sqref="G182" xr:uid="{00000000-0002-0000-0000-0000EF010000}">
      <formula1>0</formula1>
    </dataValidation>
    <dataValidation type="whole" operator="greaterThanOrEqual" allowBlank="1" showInputMessage="1" showErrorMessage="1" promptTitle="Waktu Tempuh ke Poskesdes/Polind" prompt="(Menit)" sqref="G183" xr:uid="{00000000-0002-0000-0000-0000F0010000}">
      <formula1>0</formula1>
    </dataValidation>
    <dataValidation type="whole" operator="greaterThanOrEqual" allowBlank="1" showInputMessage="1" showErrorMessage="1" promptTitle="Jumlah Posyandu tersedia di Desa" prompt="Input Menggunakan Angka" sqref="G186" xr:uid="{00000000-0002-0000-0000-0000F1010000}">
      <formula1>0</formula1>
    </dataValidation>
    <dataValidation type="whole" operator="greaterThanOrEqual" allowBlank="1" showInputMessage="1" showErrorMessage="1" promptTitle="Posyandu Melakukan Kegiatan /bln" prompt="Input Menggunakan Angka" sqref="G187" xr:uid="{00000000-0002-0000-0000-0000F2010000}">
      <formula1>0</formula1>
    </dataValidation>
    <dataValidation type="whole" operator="greaterThanOrEqual" allowBlank="1" showInputMessage="1" showErrorMessage="1" promptTitle="Posyandu Mlakukan Kegiatan /2bln" prompt="Input Menggunakan Angka" sqref="G188" xr:uid="{00000000-0002-0000-0000-0000F3010000}">
      <formula1>0</formula1>
    </dataValidation>
    <dataValidation type="whole" operator="greaterThanOrEqual" allowBlank="1" showInputMessage="1" showErrorMessage="1" promptTitle="Jumlah Warga T'daftar BPJS" prompt="Input Menggunakan Angka" sqref="G192" xr:uid="{00000000-0002-0000-0000-0000F4010000}">
      <formula1>0</formula1>
    </dataValidation>
    <dataValidation type="whole" operator="greaterThanOrEqual" allowBlank="1" showInputMessage="1" showErrorMessage="1" promptTitle="Warga jadi Peserta Jamkeda" prompt="Input Menggunakan Angka" sqref="G194" xr:uid="{00000000-0002-0000-0000-0000F5010000}">
      <formula1>0</formula1>
    </dataValidation>
    <dataValidation type="whole" operator="greaterThanOrEqual" allowBlank="1" showInputMessage="1" showErrorMessage="1" promptTitle="Jumlah Kematian Ibu Mlahirkan" prompt=" " sqref="G197" xr:uid="{00000000-0002-0000-0000-0000F6010000}">
      <formula1>0</formula1>
    </dataValidation>
    <dataValidation type="whole" operator="greaterThanOrEqual" allowBlank="1" showInputMessage="1" showErrorMessage="1" promptTitle="Jumlah Kematian Balita" prompt=" " sqref="G199" xr:uid="{00000000-0002-0000-0000-0000F7010000}">
      <formula1>0</formula1>
    </dataValidation>
    <dataValidation type="whole" operator="greaterThanOrEqual" allowBlank="1" showInputMessage="1" showErrorMessage="1" promptTitle="Jumlah Kematian Bayi (0-12 bln)" prompt=" " sqref="G201" xr:uid="{00000000-0002-0000-0000-0000F8010000}">
      <formula1>0</formula1>
    </dataValidation>
    <dataValidation type="whole" operator="greaterThanOrEqual" allowBlank="1" showInputMessage="1" showErrorMessage="1" promptTitle="Jlh Kejadian Balita Gizi Buruk" prompt=" " sqref="G203" xr:uid="{00000000-0002-0000-0000-0000F9010000}">
      <formula1>0</formula1>
    </dataValidation>
    <dataValidation type="whole" operator="greaterThanOrEqual" allowBlank="1" showInputMessage="1" showErrorMessage="1" promptTitle="Jlh PAUD Pemerintah " prompt="(Unit)" sqref="G274" xr:uid="{00000000-0002-0000-0000-0000FA010000}">
      <formula1>0</formula1>
    </dataValidation>
    <dataValidation type="whole" operator="greaterThanOrEqual" allowBlank="1" showInputMessage="1" showErrorMessage="1" promptTitle="Jlh PAUD Non Pemerintah" prompt="(Unit)" sqref="G275" xr:uid="{00000000-0002-0000-0000-0000FB010000}">
      <formula1>0</formula1>
    </dataValidation>
    <dataValidation type="whole" operator="greaterThanOrEqual" allowBlank="1" showInputMessage="1" showErrorMessage="1" promptTitle="Jlh Tunagrahita" prompt=" " sqref="G389" xr:uid="{00000000-0002-0000-0000-0000FC010000}">
      <formula1>0</formula1>
    </dataValidation>
    <dataValidation type="whole" operator="greaterThanOrEqual" allowBlank="1" showInputMessage="1" showErrorMessage="1" promptTitle="Jlh Tunanetra" prompt=" " sqref="G390" xr:uid="{00000000-0002-0000-0000-0000FD010000}">
      <formula1>0</formula1>
    </dataValidation>
    <dataValidation type="whole" operator="greaterThanOrEqual" allowBlank="1" showInputMessage="1" showErrorMessage="1" promptTitle="Jlh Tunarungu" prompt=" " sqref="G391" xr:uid="{00000000-0002-0000-0000-0000FE010000}">
      <formula1>0</formula1>
    </dataValidation>
    <dataValidation type="whole" operator="greaterThanOrEqual" allowBlank="1" showInputMessage="1" showErrorMessage="1" promptTitle="Jlh Tunalaras" prompt=" " sqref="G392" xr:uid="{00000000-0002-0000-0000-0000FF010000}">
      <formula1>0</formula1>
    </dataValidation>
    <dataValidation type="whole" operator="greaterThanOrEqual" allowBlank="1" showInputMessage="1" showErrorMessage="1" promptTitle="Jlh Tunadaksa" prompt=" " sqref="G393" xr:uid="{00000000-0002-0000-0000-000000020000}">
      <formula1>0</formula1>
    </dataValidation>
    <dataValidation type="whole" operator="greaterThanOrEqual" allowBlank="1" showInputMessage="1" showErrorMessage="1" promptTitle="Jlh Disabilitas Lahir" prompt=" " sqref="G394" xr:uid="{00000000-0002-0000-0000-000001020000}">
      <formula1>0</formula1>
    </dataValidation>
    <dataValidation type="whole" operator="greaterThanOrEqual" allowBlank="1" showInputMessage="1" showErrorMessage="1" promptTitle="Jlh Disabilitas Kecelakaan" prompt=" " sqref="G395" xr:uid="{00000000-0002-0000-0000-000002020000}">
      <formula1>0</formula1>
    </dataValidation>
    <dataValidation type="whole" operator="greaterThanOrEqual" allowBlank="1" showInputMessage="1" showErrorMessage="1" promptTitle="Jumlah KK Sumber Listrik PLN" prompt=" " sqref="G446" xr:uid="{00000000-0002-0000-0000-000003020000}">
      <formula1>0</formula1>
    </dataValidation>
    <dataValidation type="whole" operator="greaterThanOrEqual" allowBlank="1" showInputMessage="1" showErrorMessage="1" promptTitle="Jumlah KK Sumber Listrik Non PLN" prompt="(KK)" sqref="G447" xr:uid="{00000000-0002-0000-0000-000004020000}">
      <formula1>0</formula1>
    </dataValidation>
    <dataValidation type="whole" operator="greaterThanOrEqual" allowBlank="1" showInputMessage="1" showErrorMessage="1" promptTitle="Jlh KK Manfaatkn Energi Matahari" prompt=" " sqref="G449" xr:uid="{00000000-0002-0000-0000-000005020000}">
      <formula1>0</formula1>
    </dataValidation>
    <dataValidation type="whole" operator="greaterThanOrEqual" allowBlank="1" showInputMessage="1" showErrorMessage="1" promptTitle="Jlh KK Manfaatkn Energi Angin" prompt=" " sqref="G450" xr:uid="{00000000-0002-0000-0000-000006020000}">
      <formula1>0</formula1>
    </dataValidation>
    <dataValidation type="whole" operator="greaterThanOrEqual" allowBlank="1" showInputMessage="1" showErrorMessage="1" promptTitle="Jlh KK Manfaatkn Energi Biomasa" prompt=" " sqref="G451" xr:uid="{00000000-0002-0000-0000-000007020000}">
      <formula1>0</formula1>
    </dataValidation>
    <dataValidation type="whole" operator="greaterThanOrEqual" allowBlank="1" showInputMessage="1" showErrorMessage="1" promptTitle="Jlh KK Manfaatkn Energi Gas" prompt=" " sqref="G452" xr:uid="{00000000-0002-0000-0000-000008020000}">
      <formula1>0</formula1>
    </dataValidation>
    <dataValidation type="whole" operator="greaterThanOrEqual" allowBlank="1" showInputMessage="1" showErrorMessage="1" promptTitle="Jlh KK Manfaatkn E-Hayati Cair" prompt=" " sqref="G453" xr:uid="{00000000-0002-0000-0000-000009020000}">
      <formula1>0</formula1>
    </dataValidation>
    <dataValidation type="whole" operator="greaterThanOrEqual" allowBlank="1" showInputMessage="1" showErrorMessage="1" promptTitle="Jlh KK Manfaatkn E-Microhydro" prompt=" " sqref="G454" xr:uid="{00000000-0002-0000-0000-00000A020000}">
      <formula1>0</formula1>
    </dataValidation>
    <dataValidation type="whole" operator="greaterThanOrEqual" allowBlank="1" showInputMessage="1" showErrorMessage="1" promptTitle="Jlh KK Manfaatkn E-Panas Bumi" prompt=" " sqref="G455" xr:uid="{00000000-0002-0000-0000-00000B020000}">
      <formula1>0</formula1>
    </dataValidation>
    <dataValidation allowBlank="1" showInputMessage="1" showErrorMessage="1" promptTitle="Bumdesa Perdagangan Bid P'tanian" prompt="(SEBUTKAN)" sqref="G555" xr:uid="{00000000-0002-0000-0000-00000C020000}"/>
    <dataValidation allowBlank="1" showInputMessage="1" showErrorMessage="1" promptTitle="Bumdesa Perdagangan Bid P'kebunn" prompt="(SEBUTKAN)" sqref="G557" xr:uid="{00000000-0002-0000-0000-00000D020000}"/>
    <dataValidation allowBlank="1" showInputMessage="1" showErrorMessage="1" promptTitle="Bumdesa Perdagangan Bid P'ternak" prompt="(SEBUTKAN)" sqref="G559" xr:uid="{00000000-0002-0000-0000-00000E020000}"/>
    <dataValidation type="list" showInputMessage="1" showErrorMessage="1" promptTitle="Tdapat Bumdesa Pariwisata" prompt="Terdapat Bumdesa Parawisita Bidang Transportasi_x000a_0: Tidak Ada_x000a_1: Ada" sqref="G584" xr:uid="{00000000-0002-0000-0000-00000F020000}">
      <formula1>"0,1"</formula1>
    </dataValidation>
    <dataValidation type="whole" operator="greaterThanOrEqual" allowBlank="1" showInputMessage="1" showErrorMessage="1" promptTitle="Jlh RT 1.000 HPK" prompt=" " sqref="G207" xr:uid="{00000000-0002-0000-0000-000010020000}">
      <formula1>0</formula1>
    </dataValidation>
    <dataValidation type="whole" operator="greaterThanOrEqual" allowBlank="1" showInputMessage="1" showErrorMessage="1" promptTitle="Jlh Ibu Hamil di Desa" prompt=" " sqref="G208" xr:uid="{00000000-0002-0000-0000-000011020000}">
      <formula1>0</formula1>
    </dataValidation>
    <dataValidation type="whole" operator="greaterThanOrEqual" allowBlank="1" showInputMessage="1" showErrorMessage="1" promptTitle="Jlh Anak Usia (0-23 Bln)" prompt=" " sqref="G209" xr:uid="{00000000-0002-0000-0000-000012020000}">
      <formula1>0</formula1>
    </dataValidation>
    <dataValidation type="whole" operator="greaterThanOrEqual" allowBlank="1" showInputMessage="1" showErrorMessage="1" promptTitle="Jlh Anak Pertumbuhan Hijau" prompt=" " sqref="G211" xr:uid="{00000000-0002-0000-0000-000013020000}">
      <formula1>0</formula1>
    </dataValidation>
    <dataValidation type="whole" operator="greaterThanOrEqual" allowBlank="1" showInputMessage="1" showErrorMessage="1" promptTitle="Jlh Anak Pertumbuhan Kuning" prompt=" " sqref="G212" xr:uid="{00000000-0002-0000-0000-000014020000}">
      <formula1>0</formula1>
    </dataValidation>
    <dataValidation type="whole" operator="greaterThanOrEqual" allowBlank="1" showInputMessage="1" showErrorMessage="1" promptTitle="Jlh Anak Pertumbuhan Merah" prompt=" " sqref="G213" xr:uid="{00000000-0002-0000-0000-000015020000}">
      <formula1>0</formula1>
    </dataValidation>
    <dataValidation type="whole" operator="greaterThanOrEqual" allowBlank="1" showInputMessage="1" showErrorMessage="1" promptTitle="Bumil Cek 4x slama khamilan" prompt=" " sqref="G216" xr:uid="{00000000-0002-0000-0000-000016020000}">
      <formula1>0</formula1>
    </dataValidation>
    <dataValidation type="whole" operator="greaterThanOrEqual" allowBlank="1" showInputMessage="1" showErrorMessage="1" promptTitle="Bumil Pil FE slama 90 hari" prompt=" " sqref="G217" xr:uid="{00000000-0002-0000-0000-000017020000}">
      <formula1>0</formula1>
    </dataValidation>
    <dataValidation type="whole" operator="greaterThanOrEqual" allowBlank="1" showInputMessage="1" showErrorMessage="1" promptTitle="Bumil dpt layanan Nifas 3x" prompt=" " sqref="G218" xr:uid="{00000000-0002-0000-0000-000018020000}">
      <formula1>0</formula1>
    </dataValidation>
    <dataValidation type="whole" operator="greaterThanOrEqual" allowBlank="1" showInputMessage="1" showErrorMessage="1" promptTitle="Bumil Konseling Gizi 4x" prompt=" " sqref="G219" xr:uid="{00000000-0002-0000-0000-000019020000}">
      <formula1>0</formula1>
    </dataValidation>
    <dataValidation type="whole" operator="greaterThanOrEqual" allowBlank="1" showInputMessage="1" showErrorMessage="1" promptTitle="Bumil Mengalami KEK" prompt=" " sqref="G220" xr:uid="{00000000-0002-0000-0000-00001A020000}">
      <formula1>0</formula1>
    </dataValidation>
    <dataValidation type="whole" operator="greaterThanOrEqual" allowBlank="1" showInputMessage="1" showErrorMessage="1" promptTitle="Bumil Mengalami Kunjungan KEK" prompt=" " sqref="G221" xr:uid="{00000000-0002-0000-0000-00001B020000}">
      <formula1>0</formula1>
    </dataValidation>
    <dataValidation type="whole" operator="greaterThanOrEqual" allowBlank="1" showInputMessage="1" showErrorMessage="1" promptTitle="Bumil Mengalami RESTI" prompt=" " sqref="G222" xr:uid="{00000000-0002-0000-0000-00001C020000}">
      <formula1>0</formula1>
    </dataValidation>
    <dataValidation type="whole" operator="greaterThanOrEqual" allowBlank="1" showInputMessage="1" showErrorMessage="1" promptTitle="Bumil Kunjungan RESTI" prompt=" " sqref="G223" xr:uid="{00000000-0002-0000-0000-00001D020000}">
      <formula1>0</formula1>
    </dataValidation>
    <dataValidation type="whole" operator="greaterThanOrEqual" allowBlank="1" showInputMessage="1" showErrorMessage="1" promptTitle="Bumil T'akses Air Minum Aman" prompt=" " sqref="G224" xr:uid="{00000000-0002-0000-0000-00001E020000}">
      <formula1>0</formula1>
    </dataValidation>
    <dataValidation type="whole" operator="greaterThanOrEqual" allowBlank="1" showInputMessage="1" showErrorMessage="1" promptTitle="Bumil Miliki Jamban Layak" prompt=" " sqref="G225" xr:uid="{00000000-0002-0000-0000-00001F020000}">
      <formula1>0</formula1>
    </dataValidation>
    <dataValidation type="whole" operator="greaterThanOrEqual" allowBlank="1" showInputMessage="1" showErrorMessage="1" promptTitle="Bumil Miliki Jamkes" prompt=" " sqref="G226" xr:uid="{00000000-0002-0000-0000-000020020000}">
      <formula1>0</formula1>
    </dataValidation>
    <dataValidation type="whole" operator="greaterThanOrEqual" allowBlank="1" showInputMessage="1" showErrorMessage="1" promptTitle="Jlh Anak M'dpt Imunisasi" prompt=" " sqref="G234" xr:uid="{00000000-0002-0000-0000-000021020000}">
      <formula1>0</formula1>
    </dataValidation>
    <dataValidation allowBlank="1" showInputMessage="1" showErrorMessage="1" promptTitle="Jlh Anak Timbang Rutin /Bln" prompt=" " sqref="G235" xr:uid="{00000000-0002-0000-0000-000022020000}"/>
    <dataValidation type="whole" operator="greaterThanOrEqual" allowBlank="1" showInputMessage="1" showErrorMessage="1" promptTitle="Jlh Anak Ukur Tinggi 2x/Thn" prompt=" " sqref="G236" xr:uid="{00000000-0002-0000-0000-000023020000}">
      <formula1>0</formula1>
    </dataValidation>
    <dataValidation type="whole" operator="greaterThanOrEqual" allowBlank="1" showInputMessage="1" showErrorMessage="1" promptTitle="Konseling" prompt="Jlh Ortu/P'asuh Laki Ikut Konseling" sqref="G237" xr:uid="{00000000-0002-0000-0000-000024020000}">
      <formula1>0</formula1>
    </dataValidation>
    <dataValidation type="whole" operator="greaterThanOrEqual" allowBlank="1" showInputMessage="1" showErrorMessage="1" promptTitle="Konseling" prompt="Jlh Ortu/P'asuh Perempuan Ikut Konseling" sqref="G238" xr:uid="{00000000-0002-0000-0000-000025020000}">
      <formula1>0</formula1>
    </dataValidation>
    <dataValidation type="whole" operator="greaterThanOrEqual" allowBlank="1" showInputMessage="1" showErrorMessage="1" promptTitle="Jlh Kunjungan Anak Gizi Buruk" prompt=" " sqref="G239" xr:uid="{00000000-0002-0000-0000-000026020000}">
      <formula1>0</formula1>
    </dataValidation>
    <dataValidation type="whole" operator="greaterThanOrEqual" allowBlank="1" showInputMessage="1" showErrorMessage="1" promptTitle="Jlh Kunjungan Anak Gizi Kurang" prompt=" " sqref="G240" xr:uid="{00000000-0002-0000-0000-000027020000}">
      <formula1>0</formula1>
    </dataValidation>
    <dataValidation type="whole" operator="greaterThanOrEqual" allowBlank="1" showInputMessage="1" showErrorMessage="1" promptTitle="Jlh Kunjungan Anak Stunting" prompt=" " sqref="G241" xr:uid="{00000000-0002-0000-0000-000028020000}">
      <formula1>0</formula1>
    </dataValidation>
    <dataValidation type="whole" operator="greaterThanOrEqual" allowBlank="1" showInputMessage="1" showErrorMessage="1" promptTitle="Jlh Anak 0-2 Thn Akses MinumAman" prompt=" " sqref="G242" xr:uid="{00000000-0002-0000-0000-000029020000}">
      <formula1>0</formula1>
    </dataValidation>
    <dataValidation type="whole" operator="greaterThanOrEqual" allowBlank="1" showInputMessage="1" showErrorMessage="1" promptTitle="Jlh Anak 0-2 Thn Jamban Layak" prompt=" " sqref="G243" xr:uid="{00000000-0002-0000-0000-00002A020000}">
      <formula1>0</formula1>
    </dataValidation>
    <dataValidation type="whole" operator="greaterThanOrEqual" allowBlank="1" showInputMessage="1" showErrorMessage="1" promptTitle="Jlh Anak 0-2 Thn Miliki Jamkes" prompt=" " sqref="G244" xr:uid="{00000000-0002-0000-0000-00002B020000}">
      <formula1>0</formula1>
    </dataValidation>
    <dataValidation type="whole" operator="greaterThanOrEqual" allowBlank="1" showInputMessage="1" showErrorMessage="1" promptTitle="Jlh Anak 0-2 Thn Akte lahir" prompt=" " sqref="G245" xr:uid="{00000000-0002-0000-0000-00002C020000}">
      <formula1>0</formula1>
    </dataValidation>
    <dataValidation type="whole" operator="greaterThanOrEqual" allowBlank="1" showInputMessage="1" showErrorMessage="1" promptTitle="Jlh Ortu/P'asuh Ikut Parenting" sqref="G246" xr:uid="{00000000-0002-0000-0000-00002D020000}">
      <formula1>0</formula1>
    </dataValidation>
    <dataValidation type="whole" operator="greaterThanOrEqual" allowBlank="1" showInputMessage="1" showErrorMessage="1" promptTitle="Jlh Anak Usia &gt;2-6 Tahun" prompt=" " sqref="G250" xr:uid="{00000000-0002-0000-0000-00002E020000}">
      <formula1>0</formula1>
    </dataValidation>
    <dataValidation type="whole" operator="greaterThanOrEqual" allowBlank="1" showInputMessage="1" showErrorMessage="1" promptTitle="Jlh Anak Usia &gt;2-6 Thn Aktf PAUD" prompt=" " sqref="G251" xr:uid="{00000000-0002-0000-0000-00002F020000}">
      <formula1>0</formula1>
    </dataValidation>
    <dataValidation type="whole" operator="greaterThanOrEqual" allowBlank="1" showInputMessage="1" showErrorMessage="1" promptTitle="Jlh SD/MI di Desa" prompt=" " sqref="G254" xr:uid="{00000000-0002-0000-0000-000030020000}">
      <formula1>0</formula1>
    </dataValidation>
    <dataValidation type="whole" operator="greaterThanOrEqual" allowBlank="1" showInputMessage="1" showErrorMessage="1" promptTitle="Jlh Pengajar SD/MI" prompt=" " sqref="G255" xr:uid="{00000000-0002-0000-0000-000031020000}">
      <formula1>0</formula1>
    </dataValidation>
    <dataValidation type="decimal" operator="greaterThanOrEqual" allowBlank="1" showInputMessage="1" showErrorMessage="1" promptTitle="Jarak SD/MI T'dekat" prompt=" " sqref="G256" xr:uid="{00000000-0002-0000-0000-000032020000}">
      <formula1>0</formula1>
    </dataValidation>
    <dataValidation type="whole" operator="greaterThanOrEqual" allowBlank="1" showInputMessage="1" showErrorMessage="1" promptTitle="Waktu Tempuh SD/MI T'dekat" prompt=" " sqref="G257" xr:uid="{00000000-0002-0000-0000-000033020000}">
      <formula1>0</formula1>
    </dataValidation>
    <dataValidation type="whole" operator="greaterThanOrEqual" allowBlank="1" showInputMessage="1" showErrorMessage="1" promptTitle="Jlh SMP/MTs di Desa" prompt=" " sqref="G258" xr:uid="{00000000-0002-0000-0000-000034020000}">
      <formula1>0</formula1>
    </dataValidation>
    <dataValidation type="whole" operator="greaterThanOrEqual" allowBlank="1" showInputMessage="1" showErrorMessage="1" promptTitle="Jlh Pengajar SMP/MTs" prompt=" " sqref="G259" xr:uid="{00000000-0002-0000-0000-000035020000}">
      <formula1>0</formula1>
    </dataValidation>
    <dataValidation type="decimal" operator="greaterThanOrEqual" allowBlank="1" showInputMessage="1" showErrorMessage="1" promptTitle="Jarak SMP/MTs T'dekat" prompt=" " sqref="G260" xr:uid="{00000000-0002-0000-0000-000036020000}">
      <formula1>0</formula1>
    </dataValidation>
    <dataValidation type="whole" operator="greaterThanOrEqual" allowBlank="1" showInputMessage="1" showErrorMessage="1" promptTitle="Waktu Tempuh SMP/MTs T'dekat" prompt=" " sqref="G261" xr:uid="{00000000-0002-0000-0000-000037020000}">
      <formula1>0</formula1>
    </dataValidation>
    <dataValidation type="whole" operator="greaterThanOrEqual" allowBlank="1" showInputMessage="1" showErrorMessage="1" promptTitle="Jlh SMU/MA/SMK di Desa" prompt=" " sqref="G262" xr:uid="{00000000-0002-0000-0000-000038020000}">
      <formula1>0</formula1>
    </dataValidation>
    <dataValidation type="whole" operator="greaterThanOrEqual" allowBlank="1" showInputMessage="1" showErrorMessage="1" promptTitle="Jlh Pengajar SMU/MA/SMK" prompt=" " sqref="G263" xr:uid="{00000000-0002-0000-0000-000039020000}">
      <formula1>0</formula1>
    </dataValidation>
    <dataValidation type="decimal" operator="greaterThanOrEqual" allowBlank="1" showInputMessage="1" showErrorMessage="1" promptTitle="Jarak SMU/MA/SMK T'dekat" prompt=" " sqref="G264" xr:uid="{00000000-0002-0000-0000-00003A020000}">
      <formula1>0</formula1>
    </dataValidation>
    <dataValidation type="whole" operator="greaterThanOrEqual" allowBlank="1" showInputMessage="1" showErrorMessage="1" promptTitle="Waktu Tempuh SMU/MA/SMK T'dekat" prompt=" " sqref="G265" xr:uid="{00000000-0002-0000-0000-00003B020000}">
      <formula1>0</formula1>
    </dataValidation>
    <dataValidation type="whole" operator="greaterThanOrEqual" allowBlank="1" showInputMessage="1" showErrorMessage="1" promptTitle="Jlh Usia SD Putus/Tidak Sekolah" prompt=" " sqref="G269" xr:uid="{00000000-0002-0000-0000-00003C020000}">
      <formula1>0</formula1>
    </dataValidation>
    <dataValidation type="whole" operator="greaterThanOrEqual" allowBlank="1" showInputMessage="1" showErrorMessage="1" promptTitle="Jlh Usia SMP Putus/Tidak Sekolah" prompt=" " sqref="G271" xr:uid="{00000000-0002-0000-0000-00003D020000}">
      <formula1>0</formula1>
    </dataValidation>
    <dataValidation type="whole" operator="greaterThanOrEqual" allowBlank="1" showInputMessage="1" showErrorMessage="1" promptTitle="Jarak Pos PAUD T'dekat" prompt=" " sqref="G276" xr:uid="{00000000-0002-0000-0000-00003E020000}">
      <formula1>0</formula1>
    </dataValidation>
    <dataValidation type="whole" operator="greaterThanOrEqual" allowBlank="1" showInputMessage="1" showErrorMessage="1" promptTitle="Waktu Tempuh PAUD T'dekat" prompt=" " sqref="G277" xr:uid="{00000000-0002-0000-0000-00003F020000}">
      <formula1>0</formula1>
    </dataValidation>
    <dataValidation type="whole" operator="greaterThanOrEqual" allowBlank="1" showInputMessage="1" showErrorMessage="1" promptTitle="Jlh Guru PAUD/TK/RA/BA" prompt=" " sqref="G278" xr:uid="{00000000-0002-0000-0000-000040020000}">
      <formula1>0</formula1>
    </dataValidation>
    <dataValidation type="whole" operator="greaterThanOrEqual" allowBlank="1" showInputMessage="1" showErrorMessage="1" promptTitle="Jlh Pst Kursus/Pelatihan Trampil" prompt=" " sqref="G280" xr:uid="{00000000-0002-0000-0000-000041020000}">
      <formula1>0</formula1>
    </dataValidation>
    <dataValidation type="whole" operator="greaterThanOrEqual" allowBlank="1" showInputMessage="1" showErrorMessage="1" promptTitle="Jrk ke Pst Kursus/P'latihan" prompt=" " sqref="G281" xr:uid="{00000000-0002-0000-0000-000042020000}">
      <formula1>0</formula1>
    </dataValidation>
    <dataValidation type="whole" operator="greaterThanOrEqual" allowBlank="1" showInputMessage="1" showErrorMessage="1" promptTitle="Jlh Frek Gotong Royong " prompt="(Kali/Thn)" sqref="G288" xr:uid="{00000000-0002-0000-0000-000043020000}">
      <formula1>0</formula1>
    </dataValidation>
    <dataValidation type="whole" operator="greaterThanOrEqual" allowBlank="1" showInputMessage="1" showErrorMessage="1" promptTitle="Jlh Frek Karang Taruna" prompt="(Kali/Thn) " sqref="G292" xr:uid="{00000000-0002-0000-0000-000044020000}">
      <formula1>0</formula1>
    </dataValidation>
    <dataValidation type="whole" operator="greaterThanOrEqual" allowBlank="1" showInputMessage="1" showErrorMessage="1" promptTitle="Jlh Frek PKK" prompt="(Kali/Thn)" sqref="G294" xr:uid="{00000000-0002-0000-0000-000045020000}">
      <formula1>0</formula1>
    </dataValidation>
    <dataValidation type="whole" operator="greaterThanOrEqual" allowBlank="1" showInputMessage="1" showErrorMessage="1" promptTitle="Jlh Frek P'kumpulan Agama" prompt="(Kali/Thn)" sqref="G296" xr:uid="{00000000-0002-0000-0000-000046020000}">
      <formula1>0</formula1>
    </dataValidation>
    <dataValidation type="whole" operator="greaterThanOrEqual" allowBlank="1" showInputMessage="1" showErrorMessage="1" promptTitle="Jlh Frek Panti Asuhan" prompt="(Kali/Thn)" sqref="G298" xr:uid="{00000000-0002-0000-0000-000047020000}">
      <formula1>0</formula1>
    </dataValidation>
    <dataValidation type="whole" operator="greaterThanOrEqual" allowBlank="1" showInputMessage="1" showErrorMessage="1" promptTitle="Jlh Frek Arisan" prompt="(Kali/Thn)" sqref="G300" xr:uid="{00000000-0002-0000-0000-000048020000}">
      <formula1>0</formula1>
    </dataValidation>
    <dataValidation type="whole" operator="greaterThanOrEqual" allowBlank="1" showInputMessage="1" showErrorMessage="1" promptTitle="Jlh Frek Lembaga Tani" prompt="(Kali/Thn)" sqref="G302" xr:uid="{00000000-0002-0000-0000-000049020000}">
      <formula1>0</formula1>
    </dataValidation>
    <dataValidation type="whole" operator="greaterThanOrEqual" allowBlank="1" showInputMessage="1" showErrorMessage="1" promptTitle="Jlh Frek Lembaga Nelayan" prompt="(Kali/Thn)" sqref="G304" xr:uid="{00000000-0002-0000-0000-00004A020000}">
      <formula1>0</formula1>
    </dataValidation>
    <dataValidation type="whole" operator="greaterThanOrEqual" allowBlank="1" showInputMessage="1" showErrorMessage="1" promptTitle="Jlh Frek Lemb/Kel/Orgn U Ternak" prompt="(Kali/Thn)" sqref="G306" xr:uid="{00000000-0002-0000-0000-00004B020000}">
      <formula1>0</formula1>
    </dataValidation>
    <dataValidation type="whole" operator="greaterThanOrEqual" allowBlank="1" showInputMessage="1" showErrorMessage="1" promptTitle="Jlh Frek Kel/Org/Lemb K Wanita" prompt="(Kali/Thn)" sqref="G310" xr:uid="{00000000-0002-0000-0000-00004C020000}">
      <formula1>0</formula1>
    </dataValidation>
    <dataValidation type="whole" operator="greaterThanOrEqual" allowBlank="1" showInputMessage="1" showErrorMessage="1" promptTitle="Jlh Frek Kel/Org/Lemb Pengrajin" prompt="(Kali/Thn)" sqref="G308" xr:uid="{00000000-0002-0000-0000-00004D020000}">
      <formula1>0</formula1>
    </dataValidation>
    <dataValidation allowBlank="1" showInputMessage="1" showErrorMessage="1" promptTitle="Adanya Lembaga lainnya" prompt="(Sebutkan)" sqref="G312" xr:uid="{00000000-0002-0000-0000-00004E020000}"/>
    <dataValidation type="whole" operator="greaterThanOrEqual" allowBlank="1" showInputMessage="1" showErrorMessage="1" promptTitle="Jlh Frek Lembaga Lainnya" prompt="(Kali/Thn)" sqref="G313" xr:uid="{00000000-0002-0000-0000-00004F020000}">
      <formula1>0</formula1>
    </dataValidation>
    <dataValidation type="whole" operator="greaterThanOrEqual" allowBlank="1" showInputMessage="1" showErrorMessage="1" promptTitle="Jlh Frek Musyawarah Desa" prompt="(Kali/Thn)" sqref="G315" xr:uid="{00000000-0002-0000-0000-000050020000}">
      <formula1>0</formula1>
    </dataValidation>
    <dataValidation type="whole" operator="greaterThanOrEqual" allowBlank="1" showInputMessage="1" showErrorMessage="1" promptTitle="Jlh Fasilitas Lap Sepak Bola" prompt="(Unit)" sqref="G319" xr:uid="{00000000-0002-0000-0000-000051020000}">
      <formula1>0</formula1>
    </dataValidation>
    <dataValidation type="whole" operator="greaterThanOrEqual" allowBlank="1" showInputMessage="1" showErrorMessage="1" promptTitle="Jlh Fasilitas Lap Futsal" prompt="(Unit)" sqref="G320" xr:uid="{00000000-0002-0000-0000-000052020000}">
      <formula1>0</formula1>
    </dataValidation>
    <dataValidation type="whole" operator="greaterThanOrEqual" allowBlank="1" showInputMessage="1" showErrorMessage="1" promptTitle="Jlh Fasilitas Lap Tenis" prompt="(Unit)" sqref="G321" xr:uid="{00000000-0002-0000-0000-000053020000}">
      <formula1>0</formula1>
    </dataValidation>
    <dataValidation type="whole" operator="greaterThanOrEqual" allowBlank="1" showInputMessage="1" showErrorMessage="1" promptTitle="Jlh Fasilitas Lap Bulu Tangkis" prompt="(Unit)" sqref="G322" xr:uid="{00000000-0002-0000-0000-000054020000}">
      <formula1>0</formula1>
    </dataValidation>
    <dataValidation type="whole" operator="greaterThanOrEqual" allowBlank="1" showInputMessage="1" showErrorMessage="1" promptTitle="Jlh Fasilitas Lap Basket" prompt="(Unit)" sqref="G323" xr:uid="{00000000-0002-0000-0000-000055020000}">
      <formula1>0</formula1>
    </dataValidation>
    <dataValidation type="whole" operator="greaterThanOrEqual" allowBlank="1" showInputMessage="1" showErrorMessage="1" promptTitle="Jlh Fasilitas Lap Lainnya" prompt="(Sebutkan)" sqref="G324" xr:uid="{00000000-0002-0000-0000-000056020000}">
      <formula1>0</formula1>
    </dataValidation>
    <dataValidation type="whole" operator="greaterThanOrEqual" allowBlank="1" showInputMessage="1" showErrorMessage="1" promptTitle="Jlh Kelompok Olahraga" prompt=" " sqref="G327" xr:uid="{00000000-0002-0000-0000-000057020000}">
      <formula1>0</formula1>
    </dataValidation>
    <dataValidation type="whole" operator="greaterThanOrEqual" allowBlank="1" showInputMessage="1" showErrorMessage="1" promptTitle="Frek Keg Seni Adat &amp; Budaya" prompt="(Kali/Thn)" sqref="G346" xr:uid="{00000000-0002-0000-0000-000058020000}">
      <formula1>0</formula1>
    </dataValidation>
    <dataValidation type="whole" operator="greaterThanOrEqual" allowBlank="1" showInputMessage="1" showErrorMessage="1" promptTitle="Jlh Kelompok Seni Adat &amp; Budaya" prompt="(Kelompok)" sqref="G347" xr:uid="{00000000-0002-0000-0000-000059020000}">
      <formula1>0</formula1>
    </dataValidation>
    <dataValidation type="whole" operator="greaterThanOrEqual" allowBlank="1" showInputMessage="1" showErrorMessage="1" promptTitle="Jlh Kejadian Konfik" prompt="Antar Kelompok Masyarakat_x000a_(Kasus)" sqref="G357 G364" xr:uid="{00000000-0002-0000-0000-00005A020000}">
      <formula1>0</formula1>
    </dataValidation>
    <dataValidation type="whole" operator="greaterThanOrEqual" allowBlank="1" showInputMessage="1" showErrorMessage="1" promptTitle="Jlh Kejadian Konfik" prompt="Kelompok Masyarakat Antar Desa_x000a_(Kasus)" sqref="G358" xr:uid="{00000000-0002-0000-0000-00005B020000}">
      <formula1>0</formula1>
    </dataValidation>
    <dataValidation type="whole" operator="greaterThanOrEqual" allowBlank="1" showInputMessage="1" showErrorMessage="1" promptTitle="Jlh Kejadian Konfik" prompt="Antara Kelompok Masyarakat dengan Aparat Keamanan_x000a_(Kasus)" sqref="G359" xr:uid="{00000000-0002-0000-0000-00005C020000}">
      <formula1>0</formula1>
    </dataValidation>
    <dataValidation type="whole" operator="greaterThanOrEqual" allowBlank="1" showInputMessage="1" showErrorMessage="1" promptTitle="Jlh Kejadian Konfik" prompt="Antara Kelompok Masyarakat dengan Aparat Pemerinah_x000a_(Kasus)" sqref="G360" xr:uid="{00000000-0002-0000-0000-00005D020000}">
      <formula1>0</formula1>
    </dataValidation>
    <dataValidation type="whole" operator="greaterThanOrEqual" allowBlank="1" showInputMessage="1" showErrorMessage="1" promptTitle="Jlh Kejadian Konfik" prompt="Antar Pelajar/Mahasiswa/Pemuda_x000a_(Kasus)" sqref="G361" xr:uid="{00000000-0002-0000-0000-00005E020000}">
      <formula1>0</formula1>
    </dataValidation>
    <dataValidation type="whole" operator="greaterThanOrEqual" allowBlank="1" showInputMessage="1" showErrorMessage="1" promptTitle="Jlh Kejadian Konfik" prompt="Antar Suku_x000a_(Kasus)" sqref="G362" xr:uid="{00000000-0002-0000-0000-00005F020000}">
      <formula1>0</formula1>
    </dataValidation>
    <dataValidation type="whole" operator="greaterThanOrEqual" allowBlank="1" showInputMessage="1" showErrorMessage="1" promptTitle="Jlh Kejadian Konfik" prompt="Antar Agama_x000a_(Kasus)" sqref="G363" xr:uid="{00000000-0002-0000-0000-000060020000}">
      <formula1>0</formula1>
    </dataValidation>
    <dataValidation type="whole" operator="greaterThanOrEqual" allowBlank="1" showInputMessage="1" showErrorMessage="1" promptTitle="Jlh SLB di Desa" prompt="(unit)" sqref="G387" xr:uid="{00000000-0002-0000-0000-000061020000}">
      <formula1>0</formula1>
    </dataValidation>
    <dataValidation type="decimal" operator="greaterThanOrEqual" allowBlank="1" showInputMessage="1" showErrorMessage="1" promptTitle="Jarak SLB Terdekat" prompt="(Km)" sqref="G388" xr:uid="{00000000-0002-0000-0000-000062020000}">
      <formula1>0</formula1>
    </dataValidation>
    <dataValidation type="whole" operator="greaterThanOrEqual" allowBlank="1" showInputMessage="1" showErrorMessage="1" promptTitle="Jlh KK Belum Teraliri Listrik" prompt="Non Listrik_x000a_(KK)" sqref="G448" xr:uid="{00000000-0002-0000-0000-000063020000}">
      <formula1>0</formula1>
    </dataValidation>
    <dataValidation type="whole" operator="greaterThanOrEqual" allowBlank="1" showInputMessage="1" showErrorMessage="1" promptTitle="Jlh Pasar Permanen" prompt="(Unit)" sqref="G507" xr:uid="{00000000-0002-0000-0000-000064020000}">
      <formula1>0</formula1>
    </dataValidation>
    <dataValidation type="whole" operator="greaterThanOrEqual" allowBlank="1" showInputMessage="1" showErrorMessage="1" promptTitle="Jlh Pasar Semi Permanen" prompt="(Unit)" sqref="G508" xr:uid="{00000000-0002-0000-0000-000065020000}">
      <formula1>0</formula1>
    </dataValidation>
    <dataValidation type="whole" operator="greaterThanOrEqual" allowBlank="1" showInputMessage="1" showErrorMessage="1" promptTitle="Jlh Pasar Tanpa Bangunan" prompt="(Unit)" sqref="G510" xr:uid="{00000000-0002-0000-0000-000066020000}">
      <formula1>0</formula1>
    </dataValidation>
    <dataValidation type="whole" operator="greaterThanOrEqual" allowBlank="1" showInputMessage="1" showErrorMessage="1" promptTitle="Jlh Pasar Toko/Warung Kelontong" prompt="(Unit)" sqref="G511" xr:uid="{00000000-0002-0000-0000-000067020000}">
      <formula1>0</formula1>
    </dataValidation>
    <dataValidation type="whole" operator="greaterThanOrEqual" allowBlank="1" showInputMessage="1" showErrorMessage="1" promptTitle="Waktu Tempuh Hotel/Inap T'dekat" prompt="(Menit)" sqref="G515" xr:uid="{00000000-0002-0000-0000-000068020000}">
      <formula1>0</formula1>
    </dataValidation>
    <dataValidation type="whole" operator="greaterThanOrEqual" allowBlank="1" showInputMessage="1" showErrorMessage="1" promptTitle="Jarak Kantor Pos T'dekat" prompt="(Meter)" sqref="G522" xr:uid="{00000000-0002-0000-0000-000069020000}">
      <formula1>0</formula1>
    </dataValidation>
    <dataValidation type="whole" operator="greaterThanOrEqual" allowBlank="1" showInputMessage="1" showErrorMessage="1" promptTitle="Jarak Jasa Ekspedisi T'dekat" prompt="(Meter)" sqref="G524" xr:uid="{00000000-0002-0000-0000-00006A020000}">
      <formula1>0</formula1>
    </dataValidation>
    <dataValidation type="whole" operator="greaterThanOrEqual" allowBlank="1" showInputMessage="1" showErrorMessage="1" promptTitle="Jarak Bank Pemerintah T'dekat" prompt="(Meter)" sqref="G527" xr:uid="{00000000-0002-0000-0000-00006B020000}">
      <formula1>0</formula1>
    </dataValidation>
    <dataValidation type="whole" operator="greaterThanOrEqual" allowBlank="1" showInputMessage="1" showErrorMessage="1" promptTitle="Jarak Bank Swasta Terdekat" prompt="(Meter)" sqref="G529" xr:uid="{00000000-0002-0000-0000-00006C020000}">
      <formula1>0</formula1>
    </dataValidation>
    <dataValidation allowBlank="1" showInputMessage="1" showErrorMessage="1" promptTitle="Total Omset Bumdes 1 Thn T'akhir" prompt=" " sqref="G585" xr:uid="{00000000-0002-0000-0000-00006D020000}"/>
    <dataValidation allowBlank="1" showInputMessage="1" showErrorMessage="1" promptTitle="Total Omset Bumdes Bersama 1 Thn" prompt=" " sqref="G586" xr:uid="{00000000-0002-0000-0000-00006E020000}"/>
    <dataValidation allowBlank="1" showInputMessage="1" showErrorMessage="1" promptTitle="Nomor Perdes Pembentukan Bumdesa" prompt=" " sqref="G589" xr:uid="{00000000-0002-0000-0000-00006F020000}"/>
    <dataValidation type="whole" operator="greaterThanOrEqual" allowBlank="1" showInputMessage="1" showErrorMessage="1" promptTitle="Frek Kejadian Bencana" prompt="Tanah Longsor_x000a_(Kali/Tahun)" sqref="G617" xr:uid="{00000000-0002-0000-0000-000070020000}">
      <formula1>0</formula1>
    </dataValidation>
    <dataValidation type="whole" operator="greaterThanOrEqual" allowBlank="1" showInputMessage="1" showErrorMessage="1" promptTitle="Frek Kejadian Bencana" prompt="Banjir_x000a_(Kali/Tahun)" sqref="G618" xr:uid="{00000000-0002-0000-0000-000071020000}">
      <formula1>0</formula1>
    </dataValidation>
    <dataValidation type="whole" operator="greaterThanOrEqual" allowBlank="1" showInputMessage="1" showErrorMessage="1" promptTitle="Frek Kejadian Bencana" prompt="Gempa_x000a_(Kali/Tahun)" sqref="G619" xr:uid="{00000000-0002-0000-0000-000072020000}">
      <formula1>0</formula1>
    </dataValidation>
    <dataValidation type="whole" operator="greaterThanOrEqual" allowBlank="1" showInputMessage="1" showErrorMessage="1" promptTitle="Frek Kejadian Bencana" prompt="Tsunami_x000a_(Kali/Tahun)" sqref="G620" xr:uid="{00000000-0002-0000-0000-000073020000}">
      <formula1>0</formula1>
    </dataValidation>
    <dataValidation type="whole" operator="greaterThanOrEqual" allowBlank="1" showInputMessage="1" showErrorMessage="1" promptTitle="Frek Kejadian Bencana" prompt="Gelompang Pasang_x000a_(Kali/Tahun)" sqref="G621" xr:uid="{00000000-0002-0000-0000-000074020000}">
      <formula1>0</formula1>
    </dataValidation>
    <dataValidation type="whole" operator="greaterThanOrEqual" allowBlank="1" showInputMessage="1" showErrorMessage="1" promptTitle="Frek Kejadian Bencana" prompt="Angin Puyuh/ Puting Beliung/ Topan_x000a_(Kali/Tahun)" sqref="G622" xr:uid="{00000000-0002-0000-0000-000075020000}">
      <formula1>0</formula1>
    </dataValidation>
    <dataValidation type="whole" operator="greaterThanOrEqual" allowBlank="1" showInputMessage="1" showErrorMessage="1" promptTitle="Frek Kejadian Bencana" prompt="Gunung Meletus_x000a_(Kali/Tahun)" sqref="G623" xr:uid="{00000000-0002-0000-0000-000076020000}">
      <formula1>0</formula1>
    </dataValidation>
    <dataValidation type="whole" operator="greaterThanOrEqual" allowBlank="1" showInputMessage="1" showErrorMessage="1" promptTitle="Frek Kejadian Bencana" prompt="Kebakaran_x000a_(Kali/Tahun)" sqref="G624" xr:uid="{00000000-0002-0000-0000-000077020000}">
      <formula1>0</formula1>
    </dataValidation>
    <dataValidation type="whole" operator="greaterThanOrEqual" allowBlank="1" showInputMessage="1" showErrorMessage="1" promptTitle="Frek Kejadian Bencana" prompt="Kekeringan_x000a_(Kali/Tahun)" sqref="G625" xr:uid="{00000000-0002-0000-0000-000078020000}">
      <formula1>0</formula1>
    </dataValidation>
    <dataValidation type="whole" operator="greaterThanOrEqual" allowBlank="1" showInputMessage="1" showErrorMessage="1" promptTitle="Frek Kejadian Bencana" prompt="Lainnya_x000a_(Kali/Tahun)" sqref="G627" xr:uid="{00000000-0002-0000-0000-000079020000}">
      <formula1>0</formula1>
    </dataValidation>
    <dataValidation type="whole" operator="greaterThanOrEqual" allowBlank="1" showInputMessage="1" showErrorMessage="1" promptTitle="Jlh KPMD Aktif" prompt="(Orang)" sqref="G635" xr:uid="{00000000-0002-0000-0000-00007A020000}">
      <formula1>0</formula1>
    </dataValidation>
    <dataValidation type="whole" operator="greaterThanOrEqual" allowBlank="1" showInputMessage="1" showErrorMessage="1" promptTitle="Jlh Anggota P'rumusn RPJMDes Akf" prompt="(Orang)" sqref="G636" xr:uid="{00000000-0002-0000-0000-00007B020000}">
      <formula1>0</formula1>
    </dataValidation>
    <dataValidation type="whole" operator="greaterThanOrEqual" allowBlank="1" showInputMessage="1" showErrorMessage="1" promptTitle="Wkt Tempuh Ktr Desa ke Ktr Camat" prompt="(Menit)" sqref="G742" xr:uid="{00000000-0002-0000-0000-00007C020000}">
      <formula1>0</formula1>
    </dataValidation>
    <dataValidation type="whole" operator="greaterThanOrEqual" allowBlank="1" showInputMessage="1" showErrorMessage="1" promptTitle="Wkt Desa ke Ktr Bupati/Walikota" prompt="(Menit)" sqref="G745" xr:uid="{00000000-0002-0000-0000-00007D020000}">
      <formula1>0</formula1>
    </dataValidation>
  </dataValidations>
  <pageMargins left="0.7" right="0.7" top="0.75" bottom="0.75" header="0.3" footer="0.3"/>
  <pageSetup paperSize="9" orientation="portrait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X66"/>
  <sheetViews>
    <sheetView view="pageBreakPreview" zoomScale="85" zoomScaleNormal="87" zoomScaleSheetLayoutView="85" workbookViewId="0">
      <selection activeCell="A10" sqref="A10"/>
    </sheetView>
  </sheetViews>
  <sheetFormatPr defaultRowHeight="15" x14ac:dyDescent="0.25"/>
  <cols>
    <col min="1" max="1" width="5.42578125" customWidth="1"/>
    <col min="2" max="2" width="27.140625" customWidth="1"/>
    <col min="3" max="3" width="20.28515625" customWidth="1"/>
    <col min="4" max="4" width="17.5703125" customWidth="1"/>
    <col min="5" max="5" width="24.5703125" customWidth="1"/>
    <col min="6" max="6" width="15" customWidth="1"/>
    <col min="7" max="7" width="14.28515625" customWidth="1"/>
    <col min="8" max="8" width="30.5703125" customWidth="1"/>
    <col min="9" max="9" width="10" style="28" customWidth="1"/>
    <col min="10" max="10" width="15.42578125" style="28" customWidth="1"/>
    <col min="11" max="11" width="39.85546875" style="28" customWidth="1"/>
    <col min="12" max="12" width="10.28515625" style="36" customWidth="1"/>
    <col min="13" max="13" width="14.42578125" style="36" customWidth="1"/>
    <col min="14" max="16" width="9.140625" style="80" customWidth="1"/>
    <col min="17" max="17" width="9.140625" style="82" customWidth="1"/>
    <col min="18" max="18" width="9.140625" style="26" customWidth="1"/>
    <col min="19" max="24" width="9.140625" style="26"/>
  </cols>
  <sheetData>
    <row r="1" spans="1:24" ht="27" thickBot="1" x14ac:dyDescent="0.45">
      <c r="A1" s="479" t="s">
        <v>696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</row>
    <row r="2" spans="1:24" ht="15.75" thickTop="1" x14ac:dyDescent="0.25">
      <c r="E2" s="27"/>
    </row>
    <row r="3" spans="1:24" ht="18.75" x14ac:dyDescent="0.3">
      <c r="B3" s="29" t="s">
        <v>697</v>
      </c>
      <c r="C3" s="221" t="str">
        <f>UPPER('INPUTAN DESA ....'!E16)</f>
        <v>JAWA TIMUR</v>
      </c>
      <c r="D3" s="29"/>
      <c r="E3" s="29">
        <f>'INPUTAN DESA ....'!E15</f>
        <v>35</v>
      </c>
      <c r="F3" s="29"/>
      <c r="G3" s="27"/>
      <c r="H3" s="27"/>
      <c r="I3" s="217"/>
      <c r="J3" s="217"/>
      <c r="K3" s="217"/>
      <c r="L3" s="220"/>
      <c r="M3" s="220"/>
    </row>
    <row r="4" spans="1:24" ht="18.75" x14ac:dyDescent="0.3">
      <c r="B4" s="29" t="s">
        <v>698</v>
      </c>
      <c r="C4" s="221" t="str">
        <f>UPPER('INPUTAN DESA ....'!E18)</f>
        <v>KABUPATEN MALANG</v>
      </c>
      <c r="D4" s="29"/>
      <c r="E4" s="29">
        <f>'INPUTAN DESA ....'!E17</f>
        <v>3507</v>
      </c>
      <c r="F4" s="29"/>
      <c r="G4" s="27"/>
      <c r="H4" s="27"/>
      <c r="I4" s="217"/>
      <c r="J4" s="217"/>
      <c r="K4" s="217"/>
      <c r="L4" s="220"/>
      <c r="M4" s="220"/>
    </row>
    <row r="5" spans="1:24" ht="18.75" x14ac:dyDescent="0.3">
      <c r="B5" s="29" t="s">
        <v>699</v>
      </c>
      <c r="C5" s="221" t="str">
        <f>UPPER('INPUTAN DESA ....'!E20)</f>
        <v>GEDANGAN</v>
      </c>
      <c r="D5" s="29"/>
      <c r="E5" s="29">
        <f>'INPUTAN DESA ....'!E19</f>
        <v>350729</v>
      </c>
      <c r="F5" s="29"/>
      <c r="G5" s="27"/>
      <c r="H5" s="27"/>
      <c r="I5" s="217"/>
      <c r="J5" s="217"/>
      <c r="K5" s="217"/>
      <c r="L5" s="220"/>
      <c r="M5" s="220"/>
    </row>
    <row r="6" spans="1:24" ht="18.75" x14ac:dyDescent="0.3">
      <c r="B6" s="29" t="s">
        <v>700</v>
      </c>
      <c r="C6" s="221" t="str">
        <f>UPPER('INPUTAN DESA ....'!E22)</f>
        <v>GEDANGAN</v>
      </c>
      <c r="D6" s="29"/>
      <c r="E6" s="29">
        <f>'INPUTAN DESA ....'!E21</f>
        <v>3507292004</v>
      </c>
      <c r="F6" s="29"/>
      <c r="G6" s="27"/>
      <c r="H6" s="27"/>
      <c r="I6" s="217"/>
      <c r="J6" s="217"/>
      <c r="K6" s="217"/>
      <c r="L6" s="220"/>
      <c r="M6" s="220"/>
    </row>
    <row r="7" spans="1:24" ht="21" hidden="1" x14ac:dyDescent="0.35">
      <c r="B7" s="480" t="s">
        <v>1188</v>
      </c>
      <c r="C7" s="480"/>
      <c r="D7" s="30"/>
      <c r="E7" s="31" t="str">
        <f>'INPUTAN DESA ....'!E895</f>
        <v>Maju</v>
      </c>
      <c r="F7" s="29"/>
      <c r="G7" s="27"/>
      <c r="H7" s="27"/>
      <c r="I7" s="217"/>
      <c r="J7" s="217"/>
      <c r="K7" s="217"/>
      <c r="L7" s="220"/>
      <c r="M7" s="220"/>
    </row>
    <row r="8" spans="1:24" ht="18.75" x14ac:dyDescent="0.3">
      <c r="B8" s="29" t="s">
        <v>701</v>
      </c>
      <c r="C8" s="29" t="s">
        <v>258</v>
      </c>
      <c r="D8" s="29"/>
      <c r="E8" s="32">
        <f>'INPUTAN DESA ....'!E893</f>
        <v>0.75888888888888884</v>
      </c>
      <c r="F8" s="29"/>
      <c r="G8" s="218"/>
      <c r="H8" s="219"/>
      <c r="I8" s="217"/>
      <c r="J8" s="217"/>
    </row>
    <row r="9" spans="1:24" ht="18.75" x14ac:dyDescent="0.3">
      <c r="B9" s="29"/>
      <c r="C9" s="29" t="s">
        <v>237</v>
      </c>
      <c r="D9" s="29"/>
      <c r="E9" s="32">
        <f>'INPUTAN DESA ....'!E833</f>
        <v>0.76</v>
      </c>
      <c r="F9" s="29"/>
      <c r="G9" s="218"/>
      <c r="H9" s="219"/>
      <c r="I9" s="217"/>
      <c r="J9" s="217"/>
    </row>
    <row r="10" spans="1:24" ht="18.75" x14ac:dyDescent="0.3">
      <c r="B10" s="29"/>
      <c r="C10" s="29" t="s">
        <v>252</v>
      </c>
      <c r="D10" s="29"/>
      <c r="E10" s="32">
        <f>'INPUTAN DESA ....'!E868</f>
        <v>0.58333333333333337</v>
      </c>
      <c r="F10" s="29"/>
      <c r="G10" s="218"/>
      <c r="H10" s="219"/>
      <c r="I10" s="217"/>
      <c r="J10" s="217"/>
      <c r="K10" s="74" t="s">
        <v>702</v>
      </c>
      <c r="L10" s="497">
        <f>'INPUTAN DESA ....'!G7</f>
        <v>43613</v>
      </c>
      <c r="M10" s="497"/>
    </row>
    <row r="11" spans="1:24" ht="18.75" x14ac:dyDescent="0.3">
      <c r="B11" s="29"/>
      <c r="C11" s="29" t="s">
        <v>257</v>
      </c>
      <c r="D11" s="29"/>
      <c r="E11" s="32">
        <f>'INPUTAN DESA ....'!E890</f>
        <v>0.93333333333333335</v>
      </c>
      <c r="F11" s="29"/>
      <c r="G11" s="33"/>
      <c r="H11" s="34"/>
    </row>
    <row r="12" spans="1:24" ht="8.25" customHeight="1" thickBot="1" x14ac:dyDescent="0.35">
      <c r="B12" s="29"/>
      <c r="C12" s="29"/>
      <c r="D12" s="29"/>
      <c r="E12" s="32"/>
      <c r="F12" s="29"/>
      <c r="G12" s="33"/>
      <c r="H12" s="34"/>
    </row>
    <row r="13" spans="1:24" s="36" customFormat="1" ht="26.25" x14ac:dyDescent="0.25">
      <c r="A13" s="481" t="s">
        <v>703</v>
      </c>
      <c r="B13" s="483" t="s">
        <v>704</v>
      </c>
      <c r="C13" s="483"/>
      <c r="D13" s="483"/>
      <c r="E13" s="483"/>
      <c r="F13" s="483"/>
      <c r="G13" s="483"/>
      <c r="H13" s="483"/>
      <c r="I13" s="483"/>
      <c r="J13" s="483"/>
      <c r="K13" s="483"/>
      <c r="L13" s="483"/>
      <c r="M13" s="484"/>
      <c r="N13" s="81"/>
      <c r="O13" s="81"/>
      <c r="P13" s="81"/>
      <c r="Q13" s="83"/>
      <c r="R13" s="35"/>
      <c r="S13" s="35"/>
      <c r="T13" s="35"/>
      <c r="U13" s="35"/>
      <c r="V13" s="35"/>
      <c r="W13" s="35"/>
      <c r="X13" s="35"/>
    </row>
    <row r="14" spans="1:24" s="36" customFormat="1" ht="75.75" thickBot="1" x14ac:dyDescent="0.3">
      <c r="A14" s="482"/>
      <c r="B14" s="37" t="s">
        <v>1185</v>
      </c>
      <c r="C14" s="37" t="s">
        <v>701</v>
      </c>
      <c r="D14" s="38" t="s">
        <v>1220</v>
      </c>
      <c r="E14" s="37" t="s">
        <v>705</v>
      </c>
      <c r="F14" s="37" t="s">
        <v>701</v>
      </c>
      <c r="G14" s="38" t="s">
        <v>1219</v>
      </c>
      <c r="H14" s="37" t="s">
        <v>1186</v>
      </c>
      <c r="I14" s="37" t="s">
        <v>701</v>
      </c>
      <c r="J14" s="38" t="s">
        <v>1218</v>
      </c>
      <c r="K14" s="38" t="s">
        <v>1187</v>
      </c>
      <c r="L14" s="37" t="s">
        <v>701</v>
      </c>
      <c r="M14" s="39" t="s">
        <v>1217</v>
      </c>
      <c r="N14" s="81"/>
      <c r="O14" s="81"/>
      <c r="P14" s="81"/>
      <c r="Q14" s="83"/>
      <c r="R14" s="35"/>
      <c r="S14" s="35"/>
      <c r="T14" s="35"/>
      <c r="U14" s="35"/>
      <c r="V14" s="35"/>
      <c r="W14" s="35"/>
      <c r="X14" s="35"/>
    </row>
    <row r="15" spans="1:24" ht="28.5" customHeight="1" x14ac:dyDescent="0.25">
      <c r="A15" s="222">
        <v>1</v>
      </c>
      <c r="B15" s="455" t="s">
        <v>790</v>
      </c>
      <c r="C15" s="458">
        <f>SUM(F15:F46)</f>
        <v>133</v>
      </c>
      <c r="D15" s="461">
        <f>SUM(C15/R15)</f>
        <v>0.76</v>
      </c>
      <c r="E15" s="485" t="s">
        <v>620</v>
      </c>
      <c r="F15" s="486">
        <f>I15+I17+I19</f>
        <v>22</v>
      </c>
      <c r="G15" s="488">
        <f>F15/Q15</f>
        <v>0.62857142857142856</v>
      </c>
      <c r="H15" s="489" t="s">
        <v>706</v>
      </c>
      <c r="I15" s="491">
        <f>L15+L16</f>
        <v>10</v>
      </c>
      <c r="J15" s="493">
        <f>I15/P15</f>
        <v>0.5</v>
      </c>
      <c r="K15" s="40" t="s">
        <v>707</v>
      </c>
      <c r="L15" s="211">
        <f>'INPUTAN DESA ....'!G749</f>
        <v>5</v>
      </c>
      <c r="M15" s="212">
        <f>L15/5</f>
        <v>1</v>
      </c>
      <c r="O15" s="80">
        <v>5</v>
      </c>
      <c r="P15" s="80">
        <f>SUM(O15:O16)</f>
        <v>20</v>
      </c>
      <c r="Q15" s="82">
        <f>SUM(P15:P19)</f>
        <v>35</v>
      </c>
      <c r="R15" s="26">
        <f>SUM(Q15:Q46)</f>
        <v>175</v>
      </c>
    </row>
    <row r="16" spans="1:24" ht="42.75" customHeight="1" x14ac:dyDescent="0.25">
      <c r="A16" s="223">
        <f>A15+1</f>
        <v>2</v>
      </c>
      <c r="B16" s="456"/>
      <c r="C16" s="459"/>
      <c r="D16" s="462"/>
      <c r="E16" s="433"/>
      <c r="F16" s="487"/>
      <c r="G16" s="452"/>
      <c r="H16" s="490"/>
      <c r="I16" s="492"/>
      <c r="J16" s="494"/>
      <c r="K16" s="41" t="s">
        <v>708</v>
      </c>
      <c r="L16" s="213">
        <f>SUM('INPUTAN DESA ....'!G751,'INPUTAN DESA ....'!G753,'INPUTAN DESA ....'!G755)</f>
        <v>5</v>
      </c>
      <c r="M16" s="214">
        <f>L16/15</f>
        <v>0.33333333333333331</v>
      </c>
      <c r="O16" s="80">
        <v>15</v>
      </c>
    </row>
    <row r="17" spans="1:17" ht="28.5" customHeight="1" x14ac:dyDescent="0.25">
      <c r="A17" s="223">
        <f t="shared" ref="A17:A61" si="0">A16+1</f>
        <v>3</v>
      </c>
      <c r="B17" s="456"/>
      <c r="C17" s="459"/>
      <c r="D17" s="462"/>
      <c r="E17" s="433"/>
      <c r="F17" s="487"/>
      <c r="G17" s="452"/>
      <c r="H17" s="443" t="s">
        <v>709</v>
      </c>
      <c r="I17" s="495">
        <f>L17+L18</f>
        <v>10</v>
      </c>
      <c r="J17" s="496">
        <f>I17/P17</f>
        <v>1</v>
      </c>
      <c r="K17" s="41" t="s">
        <v>710</v>
      </c>
      <c r="L17" s="213">
        <f>'INPUTAN DESA ....'!G760</f>
        <v>5</v>
      </c>
      <c r="M17" s="214">
        <f t="shared" ref="M17:M26" si="1">L17/5</f>
        <v>1</v>
      </c>
      <c r="O17" s="80">
        <v>5</v>
      </c>
      <c r="P17" s="80">
        <f>SUM(O17:O18)</f>
        <v>10</v>
      </c>
    </row>
    <row r="18" spans="1:17" ht="28.5" customHeight="1" x14ac:dyDescent="0.25">
      <c r="A18" s="223">
        <f t="shared" si="0"/>
        <v>4</v>
      </c>
      <c r="B18" s="456"/>
      <c r="C18" s="459"/>
      <c r="D18" s="462"/>
      <c r="E18" s="433"/>
      <c r="F18" s="487"/>
      <c r="G18" s="452"/>
      <c r="H18" s="443"/>
      <c r="I18" s="495"/>
      <c r="J18" s="494"/>
      <c r="K18" s="41" t="s">
        <v>711</v>
      </c>
      <c r="L18" s="213">
        <f>'INPUTAN DESA ....'!G763</f>
        <v>5</v>
      </c>
      <c r="M18" s="214">
        <f t="shared" si="1"/>
        <v>1</v>
      </c>
      <c r="O18" s="80">
        <v>5</v>
      </c>
    </row>
    <row r="19" spans="1:17" ht="28.5" customHeight="1" x14ac:dyDescent="0.25">
      <c r="A19" s="223">
        <f t="shared" si="0"/>
        <v>5</v>
      </c>
      <c r="B19" s="456"/>
      <c r="C19" s="459"/>
      <c r="D19" s="462"/>
      <c r="E19" s="433"/>
      <c r="F19" s="487"/>
      <c r="G19" s="452"/>
      <c r="H19" s="42" t="s">
        <v>712</v>
      </c>
      <c r="I19" s="159">
        <f>L19</f>
        <v>2</v>
      </c>
      <c r="J19" s="160">
        <f>I19/P19</f>
        <v>0.4</v>
      </c>
      <c r="K19" s="154" t="s">
        <v>629</v>
      </c>
      <c r="L19" s="213">
        <f>'INPUTAN DESA ....'!G757</f>
        <v>2</v>
      </c>
      <c r="M19" s="214">
        <f t="shared" si="1"/>
        <v>0.4</v>
      </c>
      <c r="O19" s="80">
        <v>5</v>
      </c>
      <c r="P19" s="80">
        <f>O19</f>
        <v>5</v>
      </c>
    </row>
    <row r="20" spans="1:17" ht="28.5" customHeight="1" x14ac:dyDescent="0.25">
      <c r="A20" s="223">
        <f t="shared" si="0"/>
        <v>6</v>
      </c>
      <c r="B20" s="456"/>
      <c r="C20" s="459"/>
      <c r="D20" s="462"/>
      <c r="E20" s="433" t="s">
        <v>632</v>
      </c>
      <c r="F20" s="477">
        <f>I20+I23+I26</f>
        <v>19</v>
      </c>
      <c r="G20" s="478">
        <f>F20/Q20</f>
        <v>0.54285714285714282</v>
      </c>
      <c r="H20" s="443" t="s">
        <v>713</v>
      </c>
      <c r="I20" s="446">
        <f>L20+L21+L22</f>
        <v>11</v>
      </c>
      <c r="J20" s="447">
        <f>I20/P20</f>
        <v>0.73333333333333328</v>
      </c>
      <c r="K20" s="43" t="s">
        <v>714</v>
      </c>
      <c r="L20" s="213">
        <f>'INPUTAN DESA ....'!G765</f>
        <v>5</v>
      </c>
      <c r="M20" s="214">
        <f t="shared" si="1"/>
        <v>1</v>
      </c>
      <c r="O20" s="80">
        <v>5</v>
      </c>
      <c r="P20" s="80">
        <f>SUM(O20:O22)</f>
        <v>15</v>
      </c>
      <c r="Q20" s="82">
        <f>SUM(P20:P26)</f>
        <v>35</v>
      </c>
    </row>
    <row r="21" spans="1:17" ht="28.5" customHeight="1" x14ac:dyDescent="0.25">
      <c r="A21" s="223">
        <f t="shared" si="0"/>
        <v>7</v>
      </c>
      <c r="B21" s="456"/>
      <c r="C21" s="459"/>
      <c r="D21" s="462"/>
      <c r="E21" s="433"/>
      <c r="F21" s="477"/>
      <c r="G21" s="478"/>
      <c r="H21" s="443"/>
      <c r="I21" s="446"/>
      <c r="J21" s="447"/>
      <c r="K21" s="43" t="s">
        <v>715</v>
      </c>
      <c r="L21" s="213">
        <f>'INPUTAN DESA ....'!G767</f>
        <v>5</v>
      </c>
      <c r="M21" s="214">
        <f t="shared" si="1"/>
        <v>1</v>
      </c>
      <c r="O21" s="80">
        <v>5</v>
      </c>
    </row>
    <row r="22" spans="1:17" ht="28.5" customHeight="1" x14ac:dyDescent="0.25">
      <c r="A22" s="223">
        <f t="shared" si="0"/>
        <v>8</v>
      </c>
      <c r="B22" s="456"/>
      <c r="C22" s="459"/>
      <c r="D22" s="462"/>
      <c r="E22" s="433"/>
      <c r="F22" s="477"/>
      <c r="G22" s="478"/>
      <c r="H22" s="443"/>
      <c r="I22" s="446"/>
      <c r="J22" s="447"/>
      <c r="K22" s="43" t="s">
        <v>716</v>
      </c>
      <c r="L22" s="213">
        <f>'INPUTAN DESA ....'!G769</f>
        <v>1</v>
      </c>
      <c r="M22" s="214">
        <f t="shared" si="1"/>
        <v>0.2</v>
      </c>
      <c r="O22" s="80">
        <v>5</v>
      </c>
    </row>
    <row r="23" spans="1:17" ht="28.5" customHeight="1" x14ac:dyDescent="0.25">
      <c r="A23" s="223">
        <f t="shared" si="0"/>
        <v>9</v>
      </c>
      <c r="B23" s="456"/>
      <c r="C23" s="459"/>
      <c r="D23" s="462"/>
      <c r="E23" s="433"/>
      <c r="F23" s="477"/>
      <c r="G23" s="478"/>
      <c r="H23" s="467" t="s">
        <v>717</v>
      </c>
      <c r="I23" s="446">
        <f>L23+L24+L25</f>
        <v>7</v>
      </c>
      <c r="J23" s="447">
        <f>I23/P23</f>
        <v>0.46666666666666667</v>
      </c>
      <c r="K23" s="43" t="s">
        <v>718</v>
      </c>
      <c r="L23" s="213">
        <f>'INPUTAN DESA ....'!G771</f>
        <v>5</v>
      </c>
      <c r="M23" s="214">
        <f t="shared" si="1"/>
        <v>1</v>
      </c>
      <c r="O23" s="80">
        <v>5</v>
      </c>
      <c r="P23" s="80">
        <f>SUM(O23:O25)</f>
        <v>15</v>
      </c>
    </row>
    <row r="24" spans="1:17" ht="28.5" customHeight="1" x14ac:dyDescent="0.25">
      <c r="A24" s="223">
        <f t="shared" si="0"/>
        <v>10</v>
      </c>
      <c r="B24" s="456"/>
      <c r="C24" s="459"/>
      <c r="D24" s="462"/>
      <c r="E24" s="433"/>
      <c r="F24" s="477"/>
      <c r="G24" s="478"/>
      <c r="H24" s="467"/>
      <c r="I24" s="446"/>
      <c r="J24" s="447"/>
      <c r="K24" s="43" t="s">
        <v>719</v>
      </c>
      <c r="L24" s="213">
        <f>'INPUTAN DESA ....'!G773</f>
        <v>1</v>
      </c>
      <c r="M24" s="214">
        <f t="shared" si="1"/>
        <v>0.2</v>
      </c>
      <c r="O24" s="80">
        <v>5</v>
      </c>
    </row>
    <row r="25" spans="1:17" ht="28.5" customHeight="1" x14ac:dyDescent="0.25">
      <c r="A25" s="223">
        <f t="shared" si="0"/>
        <v>11</v>
      </c>
      <c r="B25" s="456"/>
      <c r="C25" s="459"/>
      <c r="D25" s="462"/>
      <c r="E25" s="433"/>
      <c r="F25" s="477"/>
      <c r="G25" s="478"/>
      <c r="H25" s="467"/>
      <c r="I25" s="446"/>
      <c r="J25" s="447"/>
      <c r="K25" s="43" t="s">
        <v>720</v>
      </c>
      <c r="L25" s="213">
        <f>'INPUTAN DESA ....'!G775</f>
        <v>1</v>
      </c>
      <c r="M25" s="214">
        <f t="shared" si="1"/>
        <v>0.2</v>
      </c>
      <c r="O25" s="80">
        <v>5</v>
      </c>
    </row>
    <row r="26" spans="1:17" ht="28.5" customHeight="1" x14ac:dyDescent="0.25">
      <c r="A26" s="223">
        <f t="shared" si="0"/>
        <v>12</v>
      </c>
      <c r="B26" s="456"/>
      <c r="C26" s="459"/>
      <c r="D26" s="462"/>
      <c r="E26" s="433"/>
      <c r="F26" s="477"/>
      <c r="G26" s="478"/>
      <c r="H26" s="44" t="s">
        <v>721</v>
      </c>
      <c r="I26" s="45">
        <f>L26</f>
        <v>1</v>
      </c>
      <c r="J26" s="158">
        <f>I26/P26</f>
        <v>0.2</v>
      </c>
      <c r="K26" s="154" t="s">
        <v>722</v>
      </c>
      <c r="L26" s="213">
        <f>'INPUTAN DESA ....'!G777</f>
        <v>1</v>
      </c>
      <c r="M26" s="214">
        <f t="shared" si="1"/>
        <v>0.2</v>
      </c>
      <c r="O26" s="80">
        <v>5</v>
      </c>
      <c r="P26" s="80">
        <f>O26</f>
        <v>5</v>
      </c>
    </row>
    <row r="27" spans="1:17" ht="28.5" customHeight="1" x14ac:dyDescent="0.25">
      <c r="A27" s="223">
        <f t="shared" si="0"/>
        <v>13</v>
      </c>
      <c r="B27" s="456"/>
      <c r="C27" s="459"/>
      <c r="D27" s="462"/>
      <c r="E27" s="468" t="s">
        <v>723</v>
      </c>
      <c r="F27" s="471">
        <f>SUM(I27:I38)</f>
        <v>57</v>
      </c>
      <c r="G27" s="474">
        <f>F27/Q27</f>
        <v>0.87692307692307692</v>
      </c>
      <c r="H27" s="443" t="s">
        <v>724</v>
      </c>
      <c r="I27" s="466">
        <f>L27+L28+L29+L30</f>
        <v>17</v>
      </c>
      <c r="J27" s="464">
        <f>I27/P27</f>
        <v>0.68</v>
      </c>
      <c r="K27" s="154" t="s">
        <v>725</v>
      </c>
      <c r="L27" s="213">
        <f>SUM('INPUTAN DESA ....'!G779,'INPUTAN DESA ....'!G781)</f>
        <v>10</v>
      </c>
      <c r="M27" s="214">
        <f>L27/O27</f>
        <v>1</v>
      </c>
      <c r="O27" s="80">
        <v>10</v>
      </c>
      <c r="P27" s="80">
        <f>SUM(O27:O30)</f>
        <v>25</v>
      </c>
      <c r="Q27" s="82">
        <f>SUM(P27:P37)</f>
        <v>65</v>
      </c>
    </row>
    <row r="28" spans="1:17" ht="28.5" customHeight="1" x14ac:dyDescent="0.25">
      <c r="A28" s="223">
        <f t="shared" si="0"/>
        <v>14</v>
      </c>
      <c r="B28" s="456"/>
      <c r="C28" s="459"/>
      <c r="D28" s="462"/>
      <c r="E28" s="469"/>
      <c r="F28" s="472"/>
      <c r="G28" s="475"/>
      <c r="H28" s="443"/>
      <c r="I28" s="466"/>
      <c r="J28" s="464"/>
      <c r="K28" s="154" t="s">
        <v>726</v>
      </c>
      <c r="L28" s="213">
        <f>'INPUTAN DESA ....'!G783</f>
        <v>1</v>
      </c>
      <c r="M28" s="214">
        <f>L28/O28</f>
        <v>0.2</v>
      </c>
      <c r="O28" s="80">
        <v>5</v>
      </c>
    </row>
    <row r="29" spans="1:17" ht="28.5" customHeight="1" x14ac:dyDescent="0.25">
      <c r="A29" s="223">
        <f t="shared" si="0"/>
        <v>15</v>
      </c>
      <c r="B29" s="456"/>
      <c r="C29" s="459"/>
      <c r="D29" s="462"/>
      <c r="E29" s="469"/>
      <c r="F29" s="472"/>
      <c r="G29" s="475"/>
      <c r="H29" s="443"/>
      <c r="I29" s="466"/>
      <c r="J29" s="464"/>
      <c r="K29" s="154" t="s">
        <v>1171</v>
      </c>
      <c r="L29" s="213">
        <f>'INPUTAN DESA ....'!G785</f>
        <v>5</v>
      </c>
      <c r="M29" s="214">
        <f t="shared" ref="M29:M61" si="2">L29/O29</f>
        <v>1</v>
      </c>
      <c r="O29" s="80">
        <v>5</v>
      </c>
    </row>
    <row r="30" spans="1:17" ht="28.5" customHeight="1" x14ac:dyDescent="0.25">
      <c r="A30" s="223">
        <f t="shared" si="0"/>
        <v>16</v>
      </c>
      <c r="B30" s="456"/>
      <c r="C30" s="459"/>
      <c r="D30" s="462"/>
      <c r="E30" s="469"/>
      <c r="F30" s="472"/>
      <c r="G30" s="475"/>
      <c r="H30" s="443"/>
      <c r="I30" s="466"/>
      <c r="J30" s="464"/>
      <c r="K30" s="154" t="s">
        <v>728</v>
      </c>
      <c r="L30" s="213">
        <f>'INPUTAN DESA ....'!G787</f>
        <v>1</v>
      </c>
      <c r="M30" s="214">
        <f t="shared" si="2"/>
        <v>0.2</v>
      </c>
      <c r="O30" s="80">
        <v>5</v>
      </c>
    </row>
    <row r="31" spans="1:17" ht="28.5" customHeight="1" x14ac:dyDescent="0.25">
      <c r="A31" s="223">
        <f t="shared" si="0"/>
        <v>17</v>
      </c>
      <c r="B31" s="456"/>
      <c r="C31" s="459"/>
      <c r="D31" s="462"/>
      <c r="E31" s="469"/>
      <c r="F31" s="472"/>
      <c r="G31" s="475"/>
      <c r="H31" s="467" t="s">
        <v>729</v>
      </c>
      <c r="I31" s="446">
        <f>SUM(L31:L33)</f>
        <v>15</v>
      </c>
      <c r="J31" s="447">
        <f>I31/P31</f>
        <v>1</v>
      </c>
      <c r="K31" s="154" t="s">
        <v>730</v>
      </c>
      <c r="L31" s="213">
        <f>'INPUTAN DESA ....'!G800</f>
        <v>5</v>
      </c>
      <c r="M31" s="214">
        <f t="shared" si="2"/>
        <v>1</v>
      </c>
      <c r="O31" s="80">
        <v>5</v>
      </c>
      <c r="P31" s="80">
        <f>SUM(O31:O33)</f>
        <v>15</v>
      </c>
    </row>
    <row r="32" spans="1:17" ht="28.5" customHeight="1" x14ac:dyDescent="0.25">
      <c r="A32" s="223">
        <f t="shared" si="0"/>
        <v>18</v>
      </c>
      <c r="B32" s="456"/>
      <c r="C32" s="459"/>
      <c r="D32" s="462"/>
      <c r="E32" s="469"/>
      <c r="F32" s="472"/>
      <c r="G32" s="475"/>
      <c r="H32" s="467"/>
      <c r="I32" s="446"/>
      <c r="J32" s="447"/>
      <c r="K32" s="154" t="s">
        <v>731</v>
      </c>
      <c r="L32" s="213">
        <f>'INPUTAN DESA ....'!G799</f>
        <v>5</v>
      </c>
      <c r="M32" s="214">
        <f t="shared" si="2"/>
        <v>1</v>
      </c>
      <c r="O32" s="80">
        <v>5</v>
      </c>
    </row>
    <row r="33" spans="1:18" ht="28.5" customHeight="1" x14ac:dyDescent="0.25">
      <c r="A33" s="223">
        <f t="shared" si="0"/>
        <v>19</v>
      </c>
      <c r="B33" s="456"/>
      <c r="C33" s="459"/>
      <c r="D33" s="462"/>
      <c r="E33" s="469"/>
      <c r="F33" s="472"/>
      <c r="G33" s="475"/>
      <c r="H33" s="467"/>
      <c r="I33" s="446"/>
      <c r="J33" s="447"/>
      <c r="K33" s="154" t="s">
        <v>732</v>
      </c>
      <c r="L33" s="213">
        <f>'INPUTAN DESA ....'!G797</f>
        <v>5</v>
      </c>
      <c r="M33" s="214">
        <f t="shared" si="2"/>
        <v>1</v>
      </c>
      <c r="O33" s="80">
        <v>5</v>
      </c>
    </row>
    <row r="34" spans="1:18" ht="28.5" customHeight="1" x14ac:dyDescent="0.25">
      <c r="A34" s="223">
        <f t="shared" si="0"/>
        <v>20</v>
      </c>
      <c r="B34" s="456"/>
      <c r="C34" s="459"/>
      <c r="D34" s="462"/>
      <c r="E34" s="469"/>
      <c r="F34" s="472"/>
      <c r="G34" s="475"/>
      <c r="H34" s="443" t="s">
        <v>733</v>
      </c>
      <c r="I34" s="466">
        <f>SUM(L34:L36)</f>
        <v>15</v>
      </c>
      <c r="J34" s="464">
        <f>I34/P34</f>
        <v>1</v>
      </c>
      <c r="K34" s="154" t="s">
        <v>734</v>
      </c>
      <c r="L34" s="213">
        <f>'INPUTAN DESA ....'!G803</f>
        <v>5</v>
      </c>
      <c r="M34" s="214">
        <f t="shared" si="2"/>
        <v>1</v>
      </c>
      <c r="O34" s="80">
        <v>5</v>
      </c>
      <c r="P34" s="80">
        <f>SUM(O34:O36)</f>
        <v>15</v>
      </c>
    </row>
    <row r="35" spans="1:18" ht="28.5" customHeight="1" x14ac:dyDescent="0.25">
      <c r="A35" s="223">
        <f t="shared" si="0"/>
        <v>21</v>
      </c>
      <c r="B35" s="456"/>
      <c r="C35" s="459"/>
      <c r="D35" s="462"/>
      <c r="E35" s="469"/>
      <c r="F35" s="472"/>
      <c r="G35" s="475"/>
      <c r="H35" s="443"/>
      <c r="I35" s="466"/>
      <c r="J35" s="464"/>
      <c r="K35" s="154" t="s">
        <v>735</v>
      </c>
      <c r="L35" s="213">
        <f>'INPUTAN DESA ....'!G805</f>
        <v>5</v>
      </c>
      <c r="M35" s="214">
        <f t="shared" si="2"/>
        <v>1</v>
      </c>
      <c r="O35" s="80">
        <v>5</v>
      </c>
    </row>
    <row r="36" spans="1:18" ht="28.5" customHeight="1" x14ac:dyDescent="0.25">
      <c r="A36" s="223">
        <f t="shared" si="0"/>
        <v>22</v>
      </c>
      <c r="B36" s="456"/>
      <c r="C36" s="459"/>
      <c r="D36" s="462"/>
      <c r="E36" s="469"/>
      <c r="F36" s="472"/>
      <c r="G36" s="475"/>
      <c r="H36" s="443"/>
      <c r="I36" s="466"/>
      <c r="J36" s="464"/>
      <c r="K36" s="154" t="s">
        <v>736</v>
      </c>
      <c r="L36" s="213">
        <f>'INPUTAN DESA ....'!G807</f>
        <v>5</v>
      </c>
      <c r="M36" s="214">
        <f t="shared" si="2"/>
        <v>1</v>
      </c>
      <c r="O36" s="80">
        <v>5</v>
      </c>
    </row>
    <row r="37" spans="1:18" ht="28.5" customHeight="1" x14ac:dyDescent="0.25">
      <c r="A37" s="223">
        <f t="shared" si="0"/>
        <v>23</v>
      </c>
      <c r="B37" s="456"/>
      <c r="C37" s="459"/>
      <c r="D37" s="462"/>
      <c r="E37" s="469"/>
      <c r="F37" s="472"/>
      <c r="G37" s="475"/>
      <c r="H37" s="443" t="s">
        <v>643</v>
      </c>
      <c r="I37" s="466">
        <f>SUM(L37:L38)</f>
        <v>10</v>
      </c>
      <c r="J37" s="464">
        <f>I37/P37</f>
        <v>1</v>
      </c>
      <c r="K37" s="154" t="s">
        <v>737</v>
      </c>
      <c r="L37" s="213">
        <f>'INPUTAN DESA ....'!G813</f>
        <v>5</v>
      </c>
      <c r="M37" s="214">
        <f t="shared" si="2"/>
        <v>1</v>
      </c>
      <c r="O37" s="80">
        <v>5</v>
      </c>
      <c r="P37" s="80">
        <f>SUM(O37:O38)</f>
        <v>10</v>
      </c>
    </row>
    <row r="38" spans="1:18" ht="28.5" customHeight="1" x14ac:dyDescent="0.25">
      <c r="A38" s="223">
        <f t="shared" si="0"/>
        <v>24</v>
      </c>
      <c r="B38" s="456"/>
      <c r="C38" s="459"/>
      <c r="D38" s="462"/>
      <c r="E38" s="470"/>
      <c r="F38" s="473"/>
      <c r="G38" s="476"/>
      <c r="H38" s="443"/>
      <c r="I38" s="466"/>
      <c r="J38" s="464"/>
      <c r="K38" s="154" t="s">
        <v>738</v>
      </c>
      <c r="L38" s="213">
        <f>'INPUTAN DESA ....'!G810</f>
        <v>5</v>
      </c>
      <c r="M38" s="214">
        <f t="shared" si="2"/>
        <v>1</v>
      </c>
      <c r="O38" s="80">
        <v>5</v>
      </c>
    </row>
    <row r="39" spans="1:18" ht="28.5" customHeight="1" x14ac:dyDescent="0.25">
      <c r="A39" s="223">
        <f t="shared" si="0"/>
        <v>25</v>
      </c>
      <c r="B39" s="456"/>
      <c r="C39" s="459"/>
      <c r="D39" s="462"/>
      <c r="E39" s="433" t="s">
        <v>645</v>
      </c>
      <c r="F39" s="454">
        <f>SUM(I39:I44)</f>
        <v>35</v>
      </c>
      <c r="G39" s="452">
        <f>F39/Q39</f>
        <v>0.875</v>
      </c>
      <c r="H39" s="465" t="s">
        <v>739</v>
      </c>
      <c r="I39" s="466">
        <f>SUM(L39:L40)</f>
        <v>8</v>
      </c>
      <c r="J39" s="464">
        <f>I39/P39</f>
        <v>0.8</v>
      </c>
      <c r="K39" s="357" t="s">
        <v>1699</v>
      </c>
      <c r="L39" s="213">
        <f>'INPUTAN DESA ....'!G828</f>
        <v>4</v>
      </c>
      <c r="M39" s="214">
        <f t="shared" si="2"/>
        <v>0.8</v>
      </c>
      <c r="O39" s="80">
        <v>5</v>
      </c>
      <c r="P39" s="80">
        <f>SUM(O39:O40)</f>
        <v>10</v>
      </c>
      <c r="Q39" s="82">
        <f>SUM(P39:P44)</f>
        <v>40</v>
      </c>
    </row>
    <row r="40" spans="1:18" ht="28.5" customHeight="1" x14ac:dyDescent="0.25">
      <c r="A40" s="223">
        <f t="shared" si="0"/>
        <v>26</v>
      </c>
      <c r="B40" s="456"/>
      <c r="C40" s="459"/>
      <c r="D40" s="462"/>
      <c r="E40" s="433"/>
      <c r="F40" s="433"/>
      <c r="G40" s="452"/>
      <c r="H40" s="465"/>
      <c r="I40" s="466"/>
      <c r="J40" s="464"/>
      <c r="K40" s="154" t="s">
        <v>741</v>
      </c>
      <c r="L40" s="213">
        <f>'INPUTAN DESA ....'!G829</f>
        <v>4</v>
      </c>
      <c r="M40" s="214">
        <f t="shared" si="2"/>
        <v>0.8</v>
      </c>
      <c r="O40" s="80">
        <v>5</v>
      </c>
    </row>
    <row r="41" spans="1:18" ht="28.5" customHeight="1" x14ac:dyDescent="0.25">
      <c r="A41" s="223">
        <f t="shared" si="0"/>
        <v>27</v>
      </c>
      <c r="B41" s="456"/>
      <c r="C41" s="459"/>
      <c r="D41" s="462"/>
      <c r="E41" s="433"/>
      <c r="F41" s="433"/>
      <c r="G41" s="452"/>
      <c r="H41" s="467" t="s">
        <v>742</v>
      </c>
      <c r="I41" s="446">
        <f>SUM(L41:L42)</f>
        <v>9</v>
      </c>
      <c r="J41" s="447">
        <f>I41/P41</f>
        <v>0.9</v>
      </c>
      <c r="K41" s="43" t="s">
        <v>743</v>
      </c>
      <c r="L41" s="213">
        <f>'INPUTAN DESA ....'!G824</f>
        <v>5</v>
      </c>
      <c r="M41" s="214">
        <f t="shared" si="2"/>
        <v>1</v>
      </c>
      <c r="O41" s="80">
        <v>5</v>
      </c>
      <c r="P41" s="80">
        <f>SUM(O41:O42)</f>
        <v>10</v>
      </c>
    </row>
    <row r="42" spans="1:18" ht="28.5" customHeight="1" x14ac:dyDescent="0.25">
      <c r="A42" s="223">
        <f t="shared" si="0"/>
        <v>28</v>
      </c>
      <c r="B42" s="456"/>
      <c r="C42" s="459"/>
      <c r="D42" s="462"/>
      <c r="E42" s="433"/>
      <c r="F42" s="433"/>
      <c r="G42" s="452"/>
      <c r="H42" s="467"/>
      <c r="I42" s="446"/>
      <c r="J42" s="447"/>
      <c r="K42" s="43" t="s">
        <v>744</v>
      </c>
      <c r="L42" s="213">
        <f>'INPUTAN DESA ....'!G826</f>
        <v>4</v>
      </c>
      <c r="M42" s="214">
        <f t="shared" si="2"/>
        <v>0.8</v>
      </c>
      <c r="O42" s="80">
        <v>5</v>
      </c>
    </row>
    <row r="43" spans="1:18" ht="28.5" customHeight="1" x14ac:dyDescent="0.25">
      <c r="A43" s="223">
        <f t="shared" si="0"/>
        <v>29</v>
      </c>
      <c r="B43" s="456"/>
      <c r="C43" s="459"/>
      <c r="D43" s="462"/>
      <c r="E43" s="433"/>
      <c r="F43" s="433"/>
      <c r="G43" s="452"/>
      <c r="H43" s="46" t="s">
        <v>745</v>
      </c>
      <c r="I43" s="155">
        <f>L43</f>
        <v>5</v>
      </c>
      <c r="J43" s="156">
        <f>I43/P43</f>
        <v>1</v>
      </c>
      <c r="K43" s="44" t="s">
        <v>746</v>
      </c>
      <c r="L43" s="213">
        <f>'INPUTAN DESA ....'!G816</f>
        <v>5</v>
      </c>
      <c r="M43" s="214">
        <f t="shared" si="2"/>
        <v>1</v>
      </c>
      <c r="O43" s="80">
        <v>5</v>
      </c>
      <c r="P43" s="80">
        <f>O43</f>
        <v>5</v>
      </c>
    </row>
    <row r="44" spans="1:18" ht="28.5" customHeight="1" x14ac:dyDescent="0.25">
      <c r="A44" s="223">
        <f t="shared" si="0"/>
        <v>30</v>
      </c>
      <c r="B44" s="456"/>
      <c r="C44" s="459"/>
      <c r="D44" s="462"/>
      <c r="E44" s="433"/>
      <c r="F44" s="433"/>
      <c r="G44" s="452"/>
      <c r="H44" s="443" t="s">
        <v>747</v>
      </c>
      <c r="I44" s="450">
        <f>SUM(L44:L46)</f>
        <v>13</v>
      </c>
      <c r="J44" s="447">
        <f>I44/P44</f>
        <v>0.8666666666666667</v>
      </c>
      <c r="K44" s="44" t="s">
        <v>748</v>
      </c>
      <c r="L44" s="213">
        <f>'INPUTAN DESA ....'!G818</f>
        <v>3</v>
      </c>
      <c r="M44" s="214">
        <f t="shared" si="2"/>
        <v>0.6</v>
      </c>
      <c r="O44" s="80">
        <v>5</v>
      </c>
      <c r="P44" s="80">
        <f>SUM(O44:O46)</f>
        <v>15</v>
      </c>
    </row>
    <row r="45" spans="1:18" ht="28.5" customHeight="1" x14ac:dyDescent="0.25">
      <c r="A45" s="223">
        <f t="shared" si="0"/>
        <v>31</v>
      </c>
      <c r="B45" s="456"/>
      <c r="C45" s="459"/>
      <c r="D45" s="462"/>
      <c r="E45" s="433"/>
      <c r="F45" s="433"/>
      <c r="G45" s="452"/>
      <c r="H45" s="443"/>
      <c r="I45" s="450"/>
      <c r="J45" s="447"/>
      <c r="K45" s="44" t="s">
        <v>749</v>
      </c>
      <c r="L45" s="213">
        <f>'INPUTAN DESA ....'!G820</f>
        <v>5</v>
      </c>
      <c r="M45" s="214">
        <f t="shared" si="2"/>
        <v>1</v>
      </c>
      <c r="O45" s="80">
        <v>5</v>
      </c>
    </row>
    <row r="46" spans="1:18" ht="28.5" customHeight="1" thickBot="1" x14ac:dyDescent="0.3">
      <c r="A46" s="224">
        <f t="shared" si="0"/>
        <v>32</v>
      </c>
      <c r="B46" s="457"/>
      <c r="C46" s="460"/>
      <c r="D46" s="463"/>
      <c r="E46" s="434"/>
      <c r="F46" s="434"/>
      <c r="G46" s="453"/>
      <c r="H46" s="444"/>
      <c r="I46" s="451"/>
      <c r="J46" s="449"/>
      <c r="K46" s="47" t="s">
        <v>750</v>
      </c>
      <c r="L46" s="215">
        <f>'INPUTAN DESA ....'!G822</f>
        <v>5</v>
      </c>
      <c r="M46" s="216">
        <f t="shared" si="2"/>
        <v>1</v>
      </c>
      <c r="O46" s="80">
        <v>5</v>
      </c>
    </row>
    <row r="47" spans="1:18" ht="45" customHeight="1" x14ac:dyDescent="0.25">
      <c r="A47" s="222">
        <f t="shared" si="0"/>
        <v>33</v>
      </c>
      <c r="B47" s="424" t="s">
        <v>751</v>
      </c>
      <c r="C47" s="427">
        <f>SUM(F47:F58)</f>
        <v>35</v>
      </c>
      <c r="D47" s="430">
        <f>SUM(C47/R47)</f>
        <v>0.58333333333333337</v>
      </c>
      <c r="E47" s="48" t="s">
        <v>752</v>
      </c>
      <c r="F47" s="49">
        <f>I47</f>
        <v>5</v>
      </c>
      <c r="G47" s="50">
        <f>F47/P47</f>
        <v>1</v>
      </c>
      <c r="H47" s="51" t="s">
        <v>657</v>
      </c>
      <c r="I47" s="52">
        <f>L47</f>
        <v>5</v>
      </c>
      <c r="J47" s="53">
        <f>I47/P47</f>
        <v>1</v>
      </c>
      <c r="K47" s="51" t="s">
        <v>753</v>
      </c>
      <c r="L47" s="211">
        <f>'INPUTAN DESA ....'!G836</f>
        <v>5</v>
      </c>
      <c r="M47" s="212">
        <f t="shared" si="2"/>
        <v>1</v>
      </c>
      <c r="O47" s="80">
        <v>5</v>
      </c>
      <c r="P47" s="80">
        <f>O47</f>
        <v>5</v>
      </c>
      <c r="R47" s="26">
        <f>SUM(P47:P58)</f>
        <v>60</v>
      </c>
    </row>
    <row r="48" spans="1:18" ht="28.5" customHeight="1" x14ac:dyDescent="0.25">
      <c r="A48" s="223">
        <f t="shared" si="0"/>
        <v>34</v>
      </c>
      <c r="B48" s="425"/>
      <c r="C48" s="428"/>
      <c r="D48" s="431"/>
      <c r="E48" s="433" t="s">
        <v>754</v>
      </c>
      <c r="F48" s="439">
        <f>I48</f>
        <v>8</v>
      </c>
      <c r="G48" s="441">
        <f>F48/P48</f>
        <v>0.53333333333333333</v>
      </c>
      <c r="H48" s="443" t="s">
        <v>755</v>
      </c>
      <c r="I48" s="446">
        <f>SUM(L48:L50)</f>
        <v>8</v>
      </c>
      <c r="J48" s="447">
        <f>I48/P48</f>
        <v>0.53333333333333333</v>
      </c>
      <c r="K48" s="44" t="s">
        <v>756</v>
      </c>
      <c r="L48" s="213">
        <f>'INPUTAN DESA ....'!G838</f>
        <v>2</v>
      </c>
      <c r="M48" s="214">
        <f t="shared" si="2"/>
        <v>0.4</v>
      </c>
      <c r="O48" s="80">
        <v>5</v>
      </c>
      <c r="P48" s="80">
        <f>SUM(O48:O50)</f>
        <v>15</v>
      </c>
    </row>
    <row r="49" spans="1:18" ht="28.5" customHeight="1" x14ac:dyDescent="0.25">
      <c r="A49" s="223">
        <f t="shared" si="0"/>
        <v>35</v>
      </c>
      <c r="B49" s="425"/>
      <c r="C49" s="428"/>
      <c r="D49" s="431"/>
      <c r="E49" s="433"/>
      <c r="F49" s="439"/>
      <c r="G49" s="441"/>
      <c r="H49" s="443"/>
      <c r="I49" s="446"/>
      <c r="J49" s="447"/>
      <c r="K49" s="44" t="s">
        <v>796</v>
      </c>
      <c r="L49" s="213">
        <f>'INPUTAN DESA ....'!G842</f>
        <v>1</v>
      </c>
      <c r="M49" s="214">
        <f t="shared" si="2"/>
        <v>0.2</v>
      </c>
      <c r="O49" s="80">
        <v>5</v>
      </c>
    </row>
    <row r="50" spans="1:18" ht="28.5" customHeight="1" x14ac:dyDescent="0.25">
      <c r="A50" s="223">
        <f t="shared" si="0"/>
        <v>36</v>
      </c>
      <c r="B50" s="425"/>
      <c r="C50" s="428"/>
      <c r="D50" s="431"/>
      <c r="E50" s="433"/>
      <c r="F50" s="440"/>
      <c r="G50" s="441"/>
      <c r="H50" s="443"/>
      <c r="I50" s="446"/>
      <c r="J50" s="447"/>
      <c r="K50" s="44" t="s">
        <v>758</v>
      </c>
      <c r="L50" s="213">
        <f>'INPUTAN DESA ....'!G844</f>
        <v>5</v>
      </c>
      <c r="M50" s="214">
        <f t="shared" si="2"/>
        <v>1</v>
      </c>
      <c r="O50" s="80">
        <v>5</v>
      </c>
    </row>
    <row r="51" spans="1:18" ht="28.5" customHeight="1" x14ac:dyDescent="0.25">
      <c r="A51" s="223">
        <f t="shared" si="0"/>
        <v>37</v>
      </c>
      <c r="B51" s="425"/>
      <c r="C51" s="428"/>
      <c r="D51" s="431"/>
      <c r="E51" s="54" t="s">
        <v>759</v>
      </c>
      <c r="F51" s="55">
        <f>I51</f>
        <v>0</v>
      </c>
      <c r="G51" s="55">
        <f>F51/P51</f>
        <v>0</v>
      </c>
      <c r="H51" s="42" t="s">
        <v>760</v>
      </c>
      <c r="I51" s="56">
        <f>L51</f>
        <v>0</v>
      </c>
      <c r="J51" s="156">
        <f>I51/P51</f>
        <v>0</v>
      </c>
      <c r="K51" s="43" t="s">
        <v>761</v>
      </c>
      <c r="L51" s="213">
        <f>'INPUTAN DESA ....'!G850</f>
        <v>0</v>
      </c>
      <c r="M51" s="214">
        <f t="shared" si="2"/>
        <v>0</v>
      </c>
      <c r="O51" s="80">
        <v>5</v>
      </c>
      <c r="P51" s="80">
        <f>O51</f>
        <v>5</v>
      </c>
    </row>
    <row r="52" spans="1:18" ht="28.5" customHeight="1" x14ac:dyDescent="0.25">
      <c r="A52" s="223">
        <f t="shared" si="0"/>
        <v>38</v>
      </c>
      <c r="B52" s="425"/>
      <c r="C52" s="428"/>
      <c r="D52" s="431"/>
      <c r="E52" s="445" t="s">
        <v>762</v>
      </c>
      <c r="F52" s="439">
        <f>I52</f>
        <v>2</v>
      </c>
      <c r="G52" s="441">
        <f>F52/P52</f>
        <v>0.2</v>
      </c>
      <c r="H52" s="443" t="s">
        <v>763</v>
      </c>
      <c r="I52" s="446">
        <f>SUM(L52:L53)</f>
        <v>2</v>
      </c>
      <c r="J52" s="447">
        <f>I52/P52</f>
        <v>0.2</v>
      </c>
      <c r="K52" s="44" t="s">
        <v>764</v>
      </c>
      <c r="L52" s="213">
        <f>'INPUTAN DESA ....'!G853</f>
        <v>0</v>
      </c>
      <c r="M52" s="214">
        <f t="shared" si="2"/>
        <v>0</v>
      </c>
      <c r="O52" s="80">
        <v>5</v>
      </c>
      <c r="P52" s="80">
        <f>SUM(O52:O53)</f>
        <v>10</v>
      </c>
    </row>
    <row r="53" spans="1:18" ht="28.5" customHeight="1" x14ac:dyDescent="0.25">
      <c r="A53" s="223">
        <f t="shared" si="0"/>
        <v>39</v>
      </c>
      <c r="B53" s="425"/>
      <c r="C53" s="428"/>
      <c r="D53" s="431"/>
      <c r="E53" s="445"/>
      <c r="F53" s="440"/>
      <c r="G53" s="441"/>
      <c r="H53" s="443"/>
      <c r="I53" s="446"/>
      <c r="J53" s="447"/>
      <c r="K53" s="44" t="s">
        <v>765</v>
      </c>
      <c r="L53" s="213">
        <f>'INPUTAN DESA ....'!G856</f>
        <v>2</v>
      </c>
      <c r="M53" s="214">
        <f t="shared" si="2"/>
        <v>0.4</v>
      </c>
      <c r="O53" s="80">
        <v>5</v>
      </c>
    </row>
    <row r="54" spans="1:18" ht="28.5" customHeight="1" x14ac:dyDescent="0.25">
      <c r="A54" s="223">
        <f t="shared" si="0"/>
        <v>40</v>
      </c>
      <c r="B54" s="425"/>
      <c r="C54" s="428"/>
      <c r="D54" s="431"/>
      <c r="E54" s="445" t="s">
        <v>766</v>
      </c>
      <c r="F54" s="439">
        <f>I54</f>
        <v>8</v>
      </c>
      <c r="G54" s="441">
        <f>F54/P54</f>
        <v>0.8</v>
      </c>
      <c r="H54" s="443" t="s">
        <v>767</v>
      </c>
      <c r="I54" s="446">
        <f>SUM(L54:L55)</f>
        <v>8</v>
      </c>
      <c r="J54" s="447">
        <f>I54/P54</f>
        <v>0.8</v>
      </c>
      <c r="K54" s="44" t="s">
        <v>768</v>
      </c>
      <c r="L54" s="213">
        <f>'INPUTAN DESA ....'!G859</f>
        <v>5</v>
      </c>
      <c r="M54" s="214">
        <f t="shared" si="2"/>
        <v>1</v>
      </c>
      <c r="O54" s="80">
        <v>5</v>
      </c>
      <c r="P54" s="80">
        <f>SUM(O54:O55)</f>
        <v>10</v>
      </c>
    </row>
    <row r="55" spans="1:18" ht="28.5" customHeight="1" x14ac:dyDescent="0.25">
      <c r="A55" s="223">
        <f t="shared" si="0"/>
        <v>41</v>
      </c>
      <c r="B55" s="425"/>
      <c r="C55" s="428"/>
      <c r="D55" s="431"/>
      <c r="E55" s="445"/>
      <c r="F55" s="440"/>
      <c r="G55" s="441"/>
      <c r="H55" s="443"/>
      <c r="I55" s="446"/>
      <c r="J55" s="447"/>
      <c r="K55" s="44" t="s">
        <v>769</v>
      </c>
      <c r="L55" s="213">
        <f>'INPUTAN DESA ....'!G847</f>
        <v>3</v>
      </c>
      <c r="M55" s="214">
        <f t="shared" si="2"/>
        <v>0.6</v>
      </c>
      <c r="O55" s="80">
        <v>5</v>
      </c>
    </row>
    <row r="56" spans="1:18" ht="28.5" customHeight="1" x14ac:dyDescent="0.25">
      <c r="A56" s="223">
        <f t="shared" si="0"/>
        <v>42</v>
      </c>
      <c r="B56" s="425"/>
      <c r="C56" s="428"/>
      <c r="D56" s="431"/>
      <c r="E56" s="433" t="s">
        <v>770</v>
      </c>
      <c r="F56" s="439">
        <f>I56</f>
        <v>12</v>
      </c>
      <c r="G56" s="441">
        <f>F56/P56</f>
        <v>0.8</v>
      </c>
      <c r="H56" s="443" t="s">
        <v>662</v>
      </c>
      <c r="I56" s="446">
        <f>SUM(L56:L58)</f>
        <v>12</v>
      </c>
      <c r="J56" s="447">
        <f>I56/P56</f>
        <v>0.8</v>
      </c>
      <c r="K56" s="44" t="s">
        <v>771</v>
      </c>
      <c r="L56" s="213">
        <f>'INPUTAN DESA ....'!G861</f>
        <v>3</v>
      </c>
      <c r="M56" s="214">
        <f t="shared" si="2"/>
        <v>0.6</v>
      </c>
      <c r="O56" s="80">
        <v>5</v>
      </c>
      <c r="P56" s="80">
        <f>SUM(O56:O58)</f>
        <v>15</v>
      </c>
    </row>
    <row r="57" spans="1:18" ht="28.5" customHeight="1" x14ac:dyDescent="0.25">
      <c r="A57" s="223">
        <f t="shared" si="0"/>
        <v>43</v>
      </c>
      <c r="B57" s="425"/>
      <c r="C57" s="428"/>
      <c r="D57" s="431"/>
      <c r="E57" s="433"/>
      <c r="F57" s="440"/>
      <c r="G57" s="441"/>
      <c r="H57" s="443"/>
      <c r="I57" s="446"/>
      <c r="J57" s="447"/>
      <c r="K57" s="44" t="s">
        <v>772</v>
      </c>
      <c r="L57" s="213">
        <f>'INPUTAN DESA ....'!G863</f>
        <v>5</v>
      </c>
      <c r="M57" s="214">
        <f t="shared" si="2"/>
        <v>1</v>
      </c>
      <c r="O57" s="80">
        <v>5</v>
      </c>
    </row>
    <row r="58" spans="1:18" ht="28.5" customHeight="1" thickBot="1" x14ac:dyDescent="0.3">
      <c r="A58" s="224">
        <f t="shared" si="0"/>
        <v>44</v>
      </c>
      <c r="B58" s="426"/>
      <c r="C58" s="429"/>
      <c r="D58" s="432"/>
      <c r="E58" s="434"/>
      <c r="F58" s="436"/>
      <c r="G58" s="442"/>
      <c r="H58" s="444"/>
      <c r="I58" s="448"/>
      <c r="J58" s="449"/>
      <c r="K58" s="47" t="s">
        <v>773</v>
      </c>
      <c r="L58" s="215">
        <f>'INPUTAN DESA ....'!G865</f>
        <v>4</v>
      </c>
      <c r="M58" s="216">
        <f t="shared" si="2"/>
        <v>0.8</v>
      </c>
      <c r="O58" s="80">
        <v>5</v>
      </c>
    </row>
    <row r="59" spans="1:18" ht="48.75" customHeight="1" thickBot="1" x14ac:dyDescent="0.3">
      <c r="A59" s="222">
        <f t="shared" si="0"/>
        <v>45</v>
      </c>
      <c r="B59" s="424" t="s">
        <v>774</v>
      </c>
      <c r="C59" s="427">
        <f>SUM(F59:F68)</f>
        <v>14</v>
      </c>
      <c r="D59" s="430">
        <f>SUM(C59/R59)</f>
        <v>0.93333333333333335</v>
      </c>
      <c r="E59" s="48" t="s">
        <v>775</v>
      </c>
      <c r="F59" s="49">
        <f>I59</f>
        <v>5</v>
      </c>
      <c r="G59" s="57">
        <f>F59/P59</f>
        <v>1</v>
      </c>
      <c r="H59" s="58" t="s">
        <v>776</v>
      </c>
      <c r="I59" s="59">
        <f>L59</f>
        <v>5</v>
      </c>
      <c r="J59" s="53">
        <f>I59/O59</f>
        <v>1</v>
      </c>
      <c r="K59" s="51" t="s">
        <v>777</v>
      </c>
      <c r="L59" s="211">
        <f>'INPUTAN DESA ....'!G875</f>
        <v>5</v>
      </c>
      <c r="M59" s="212">
        <f t="shared" si="2"/>
        <v>1</v>
      </c>
      <c r="O59" s="80">
        <v>5</v>
      </c>
      <c r="P59" s="80">
        <f>O59</f>
        <v>5</v>
      </c>
      <c r="R59" s="26">
        <f>SUM(P59:P61)</f>
        <v>15</v>
      </c>
    </row>
    <row r="60" spans="1:18" ht="28.5" customHeight="1" thickBot="1" x14ac:dyDescent="0.3">
      <c r="A60" s="222">
        <f t="shared" si="0"/>
        <v>46</v>
      </c>
      <c r="B60" s="425"/>
      <c r="C60" s="428"/>
      <c r="D60" s="431"/>
      <c r="E60" s="433" t="s">
        <v>1189</v>
      </c>
      <c r="F60" s="435">
        <f>I60+I61</f>
        <v>9</v>
      </c>
      <c r="G60" s="437">
        <f>F60/P60</f>
        <v>0.9</v>
      </c>
      <c r="H60" s="44" t="s">
        <v>779</v>
      </c>
      <c r="I60" s="60">
        <f>L60</f>
        <v>5</v>
      </c>
      <c r="J60" s="156">
        <f t="shared" ref="J60:J61" si="3">I60/O60</f>
        <v>1</v>
      </c>
      <c r="K60" s="44" t="s">
        <v>780</v>
      </c>
      <c r="L60" s="213">
        <f>'INPUTAN DESA ....'!G881</f>
        <v>5</v>
      </c>
      <c r="M60" s="214">
        <f t="shared" si="2"/>
        <v>1</v>
      </c>
      <c r="O60" s="80">
        <v>5</v>
      </c>
      <c r="P60" s="80">
        <f>SUM(O60:O61)</f>
        <v>10</v>
      </c>
    </row>
    <row r="61" spans="1:18" ht="28.5" customHeight="1" thickBot="1" x14ac:dyDescent="0.3">
      <c r="A61" s="222">
        <f t="shared" si="0"/>
        <v>47</v>
      </c>
      <c r="B61" s="426"/>
      <c r="C61" s="429"/>
      <c r="D61" s="432"/>
      <c r="E61" s="434"/>
      <c r="F61" s="436"/>
      <c r="G61" s="438"/>
      <c r="H61" s="61" t="s">
        <v>781</v>
      </c>
      <c r="I61" s="62">
        <f>L61</f>
        <v>4</v>
      </c>
      <c r="J61" s="157">
        <f t="shared" si="3"/>
        <v>0.8</v>
      </c>
      <c r="K61" s="47" t="s">
        <v>782</v>
      </c>
      <c r="L61" s="215">
        <f>'INPUTAN DESA ....'!G887</f>
        <v>4</v>
      </c>
      <c r="M61" s="216">
        <f t="shared" si="2"/>
        <v>0.8</v>
      </c>
      <c r="O61" s="80">
        <v>5</v>
      </c>
    </row>
    <row r="62" spans="1:18" x14ac:dyDescent="0.25">
      <c r="D62" s="63"/>
    </row>
    <row r="63" spans="1:18" x14ac:dyDescent="0.25">
      <c r="D63" s="63"/>
    </row>
    <row r="64" spans="1:18" x14ac:dyDescent="0.25">
      <c r="D64" s="63"/>
    </row>
    <row r="65" spans="4:4" x14ac:dyDescent="0.25">
      <c r="D65" s="63"/>
    </row>
    <row r="66" spans="4:4" x14ac:dyDescent="0.25">
      <c r="D66" s="63"/>
    </row>
  </sheetData>
  <mergeCells count="86">
    <mergeCell ref="A1:M1"/>
    <mergeCell ref="B7:C7"/>
    <mergeCell ref="A13:A14"/>
    <mergeCell ref="B13:M13"/>
    <mergeCell ref="E15:E19"/>
    <mergeCell ref="F15:F19"/>
    <mergeCell ref="G15:G19"/>
    <mergeCell ref="H15:H16"/>
    <mergeCell ref="I15:I16"/>
    <mergeCell ref="J15:J16"/>
    <mergeCell ref="H17:H18"/>
    <mergeCell ref="I17:I18"/>
    <mergeCell ref="J17:J18"/>
    <mergeCell ref="L10:M10"/>
    <mergeCell ref="J20:J22"/>
    <mergeCell ref="H23:H25"/>
    <mergeCell ref="I23:I25"/>
    <mergeCell ref="J23:J25"/>
    <mergeCell ref="E20:E26"/>
    <mergeCell ref="F20:F26"/>
    <mergeCell ref="G20:G26"/>
    <mergeCell ref="H20:H22"/>
    <mergeCell ref="I20:I22"/>
    <mergeCell ref="E27:E38"/>
    <mergeCell ref="F27:F38"/>
    <mergeCell ref="H34:H36"/>
    <mergeCell ref="I34:I36"/>
    <mergeCell ref="H37:H38"/>
    <mergeCell ref="I37:I38"/>
    <mergeCell ref="G27:G38"/>
    <mergeCell ref="J34:J36"/>
    <mergeCell ref="J27:J30"/>
    <mergeCell ref="H31:H33"/>
    <mergeCell ref="I31:I33"/>
    <mergeCell ref="J31:J33"/>
    <mergeCell ref="H27:H30"/>
    <mergeCell ref="I27:I30"/>
    <mergeCell ref="J37:J38"/>
    <mergeCell ref="H39:H40"/>
    <mergeCell ref="I39:I40"/>
    <mergeCell ref="J39:J40"/>
    <mergeCell ref="H41:H42"/>
    <mergeCell ref="I41:I42"/>
    <mergeCell ref="J41:J42"/>
    <mergeCell ref="H44:H46"/>
    <mergeCell ref="I44:I46"/>
    <mergeCell ref="J44:J46"/>
    <mergeCell ref="G39:G46"/>
    <mergeCell ref="B47:B58"/>
    <mergeCell ref="C47:C58"/>
    <mergeCell ref="D47:D58"/>
    <mergeCell ref="E48:E50"/>
    <mergeCell ref="F48:F50"/>
    <mergeCell ref="E39:E46"/>
    <mergeCell ref="F39:F46"/>
    <mergeCell ref="B15:B46"/>
    <mergeCell ref="C15:C46"/>
    <mergeCell ref="D15:D46"/>
    <mergeCell ref="I48:I50"/>
    <mergeCell ref="J48:J50"/>
    <mergeCell ref="E52:E53"/>
    <mergeCell ref="F52:F53"/>
    <mergeCell ref="G52:G53"/>
    <mergeCell ref="H52:H53"/>
    <mergeCell ref="I52:I53"/>
    <mergeCell ref="J52:J53"/>
    <mergeCell ref="G48:G50"/>
    <mergeCell ref="H48:H50"/>
    <mergeCell ref="I56:I58"/>
    <mergeCell ref="J56:J58"/>
    <mergeCell ref="J54:J55"/>
    <mergeCell ref="E54:E55"/>
    <mergeCell ref="F54:F55"/>
    <mergeCell ref="G54:G55"/>
    <mergeCell ref="H54:H55"/>
    <mergeCell ref="I54:I55"/>
    <mergeCell ref="G60:G61"/>
    <mergeCell ref="E56:E58"/>
    <mergeCell ref="F56:F58"/>
    <mergeCell ref="G56:G58"/>
    <mergeCell ref="H56:H58"/>
    <mergeCell ref="B59:B61"/>
    <mergeCell ref="C59:C61"/>
    <mergeCell ref="D59:D61"/>
    <mergeCell ref="E60:E61"/>
    <mergeCell ref="F60:F61"/>
  </mergeCells>
  <pageMargins left="0.70866141732283472" right="0.70866141732283472" top="0.74803149606299213" bottom="0.74803149606299213" header="0.31496062992125984" footer="0.31496062992125984"/>
  <pageSetup paperSize="9" scale="53" fitToHeight="3" orientation="landscape" r:id="rId1"/>
  <rowBreaks count="1" manualBreakCount="1">
    <brk id="32" max="12" man="1"/>
  </rowBreaks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X40"/>
  <sheetViews>
    <sheetView topLeftCell="A16" zoomScale="70" zoomScaleNormal="70" workbookViewId="0">
      <selection activeCell="A14" sqref="A14"/>
    </sheetView>
  </sheetViews>
  <sheetFormatPr defaultRowHeight="15" x14ac:dyDescent="0.25"/>
  <cols>
    <col min="1" max="1" width="2.5703125" style="69" bestFit="1" customWidth="1"/>
    <col min="2" max="2" width="39.42578125" customWidth="1"/>
    <col min="3" max="3" width="5" style="75" customWidth="1"/>
    <col min="4" max="4" width="57.28515625" bestFit="1" customWidth="1"/>
    <col min="5" max="5" width="5" style="75" customWidth="1"/>
    <col min="17" max="17" width="31.7109375" customWidth="1"/>
    <col min="23" max="23" width="24.42578125" customWidth="1"/>
  </cols>
  <sheetData>
    <row r="1" spans="1:24" x14ac:dyDescent="0.25">
      <c r="A1" s="64" t="s">
        <v>783</v>
      </c>
      <c r="B1" s="65" t="s">
        <v>620</v>
      </c>
      <c r="C1" s="75">
        <f>SUM('OLAH DATA PERITEM IDM 2020'!G15:G19)</f>
        <v>0.62857142857142856</v>
      </c>
    </row>
    <row r="2" spans="1:24" x14ac:dyDescent="0.25">
      <c r="A2" s="64"/>
      <c r="B2" s="65" t="s">
        <v>784</v>
      </c>
      <c r="D2" s="66" t="s">
        <v>785</v>
      </c>
    </row>
    <row r="3" spans="1:24" x14ac:dyDescent="0.25">
      <c r="A3" s="64"/>
      <c r="B3" s="67" t="s">
        <v>706</v>
      </c>
      <c r="C3" s="75">
        <f>SUM('OLAH DATA PERITEM IDM 2020'!J15:J16)</f>
        <v>0.5</v>
      </c>
      <c r="D3" t="s">
        <v>707</v>
      </c>
      <c r="E3" s="75">
        <f>'OLAH DATA PERITEM IDM 2020'!M15</f>
        <v>1</v>
      </c>
      <c r="X3">
        <f>'OLAH DATA PERITEM IDM 2020'!J15</f>
        <v>0.5</v>
      </c>
    </row>
    <row r="4" spans="1:24" x14ac:dyDescent="0.25">
      <c r="A4" s="64"/>
      <c r="B4" s="67"/>
      <c r="D4" t="s">
        <v>708</v>
      </c>
      <c r="E4" s="75">
        <f>'OLAH DATA PERITEM IDM 2020'!M16</f>
        <v>0.33333333333333331</v>
      </c>
    </row>
    <row r="5" spans="1:24" x14ac:dyDescent="0.25">
      <c r="B5" t="s">
        <v>709</v>
      </c>
      <c r="C5" s="75">
        <f>SUM('OLAH DATA PERITEM IDM 2020'!J16:J17)</f>
        <v>1</v>
      </c>
      <c r="D5" t="s">
        <v>710</v>
      </c>
      <c r="E5" s="75">
        <f>'OLAH DATA PERITEM IDM 2020'!M17</f>
        <v>1</v>
      </c>
    </row>
    <row r="6" spans="1:24" x14ac:dyDescent="0.25">
      <c r="D6" t="s">
        <v>711</v>
      </c>
      <c r="E6" s="75">
        <f>'OLAH DATA PERITEM IDM 2020'!M18</f>
        <v>1</v>
      </c>
    </row>
    <row r="7" spans="1:24" x14ac:dyDescent="0.25">
      <c r="B7" t="s">
        <v>712</v>
      </c>
      <c r="C7" s="75">
        <f>'OLAH DATA PERITEM IDM 2020'!J19</f>
        <v>0.4</v>
      </c>
      <c r="D7" t="s">
        <v>629</v>
      </c>
      <c r="E7" s="75">
        <f>'OLAH DATA PERITEM IDM 2020'!M19</f>
        <v>0.4</v>
      </c>
    </row>
    <row r="8" spans="1:24" x14ac:dyDescent="0.25">
      <c r="L8" s="70"/>
    </row>
    <row r="9" spans="1:24" x14ac:dyDescent="0.25">
      <c r="A9" s="64" t="s">
        <v>786</v>
      </c>
      <c r="B9" s="66" t="s">
        <v>632</v>
      </c>
      <c r="C9" s="75">
        <f>SUM('OLAH DATA PERITEM IDM 2020'!G20:G26)</f>
        <v>0.54285714285714282</v>
      </c>
      <c r="L9" s="70"/>
    </row>
    <row r="10" spans="1:24" x14ac:dyDescent="0.25">
      <c r="B10" t="s">
        <v>713</v>
      </c>
      <c r="C10" s="75">
        <f>SUM('OLAH DATA PERITEM IDM 2020'!J20:J22)</f>
        <v>0.73333333333333328</v>
      </c>
      <c r="D10" s="68" t="s">
        <v>714</v>
      </c>
      <c r="E10" s="75">
        <f>'OLAH DATA PERITEM IDM 2020'!M20</f>
        <v>1</v>
      </c>
    </row>
    <row r="11" spans="1:24" x14ac:dyDescent="0.25">
      <c r="D11" s="68" t="s">
        <v>715</v>
      </c>
      <c r="E11" s="75">
        <f>'OLAH DATA PERITEM IDM 2020'!M21</f>
        <v>1</v>
      </c>
    </row>
    <row r="12" spans="1:24" x14ac:dyDescent="0.25">
      <c r="D12" s="68" t="s">
        <v>716</v>
      </c>
      <c r="E12" s="75">
        <f>'OLAH DATA PERITEM IDM 2020'!M22</f>
        <v>0.2</v>
      </c>
      <c r="J12" s="27"/>
      <c r="K12" s="27"/>
      <c r="L12" s="27"/>
      <c r="M12" s="27"/>
      <c r="N12" s="27"/>
    </row>
    <row r="13" spans="1:24" x14ac:dyDescent="0.25">
      <c r="B13" t="s">
        <v>717</v>
      </c>
      <c r="C13" s="75">
        <f>SUM('OLAH DATA PERITEM IDM 2020'!J23:J25)</f>
        <v>0.46666666666666667</v>
      </c>
      <c r="D13" s="68" t="s">
        <v>718</v>
      </c>
      <c r="E13" s="75">
        <f>'OLAH DATA PERITEM IDM 2020'!M23</f>
        <v>1</v>
      </c>
      <c r="J13" s="27"/>
      <c r="K13" s="27"/>
      <c r="L13" s="27"/>
      <c r="M13" s="27"/>
      <c r="N13" s="27"/>
    </row>
    <row r="14" spans="1:24" x14ac:dyDescent="0.25">
      <c r="D14" s="34" t="s">
        <v>719</v>
      </c>
      <c r="E14" s="75">
        <f>'OLAH DATA PERITEM IDM 2020'!M24</f>
        <v>0.2</v>
      </c>
      <c r="H14" s="71"/>
      <c r="J14" s="27"/>
      <c r="K14" s="498"/>
      <c r="L14" s="499"/>
      <c r="M14" s="499"/>
      <c r="N14" s="27"/>
    </row>
    <row r="15" spans="1:24" x14ac:dyDescent="0.25">
      <c r="D15" t="s">
        <v>720</v>
      </c>
      <c r="E15" s="75">
        <f>'OLAH DATA PERITEM IDM 2020'!M25</f>
        <v>0.2</v>
      </c>
      <c r="H15" s="71"/>
      <c r="J15" s="27"/>
      <c r="K15" s="498"/>
      <c r="L15" s="499"/>
      <c r="M15" s="499"/>
      <c r="N15" s="27"/>
    </row>
    <row r="16" spans="1:24" x14ac:dyDescent="0.25">
      <c r="B16" t="s">
        <v>721</v>
      </c>
      <c r="C16" s="75">
        <f>'OLAH DATA PERITEM IDM 2020'!J26</f>
        <v>0.2</v>
      </c>
      <c r="D16" t="s">
        <v>722</v>
      </c>
      <c r="E16" s="75">
        <f>'OLAH DATA PERITEM IDM 2020'!M26</f>
        <v>0.2</v>
      </c>
      <c r="H16" s="71"/>
      <c r="J16" s="27"/>
      <c r="K16" s="500"/>
      <c r="L16" s="499"/>
      <c r="M16" s="499"/>
      <c r="N16" s="27"/>
    </row>
    <row r="17" spans="1:14" x14ac:dyDescent="0.25">
      <c r="H17" s="71"/>
      <c r="J17" s="27"/>
      <c r="K17" s="500"/>
      <c r="L17" s="499"/>
      <c r="M17" s="499"/>
      <c r="N17" s="27"/>
    </row>
    <row r="18" spans="1:14" x14ac:dyDescent="0.25">
      <c r="A18" s="64" t="s">
        <v>787</v>
      </c>
      <c r="B18" s="66" t="s">
        <v>723</v>
      </c>
      <c r="C18" s="75">
        <f>SUM('OLAH DATA PERITEM IDM 2020'!G27:G32)</f>
        <v>0.87692307692307692</v>
      </c>
      <c r="H18" s="71"/>
      <c r="J18" s="27"/>
      <c r="K18" s="27"/>
      <c r="L18" s="72"/>
      <c r="M18" s="73"/>
      <c r="N18" s="27"/>
    </row>
    <row r="19" spans="1:14" x14ac:dyDescent="0.25">
      <c r="B19" t="s">
        <v>724</v>
      </c>
      <c r="C19" s="75">
        <f>SUM('OLAH DATA PERITEM IDM 2020'!J27:J30)</f>
        <v>0.68</v>
      </c>
      <c r="D19" t="s">
        <v>725</v>
      </c>
      <c r="E19" s="75">
        <f>'OLAH DATA PERITEM IDM 2020'!M27</f>
        <v>1</v>
      </c>
      <c r="H19" s="71"/>
      <c r="J19" s="27"/>
      <c r="K19" s="27"/>
      <c r="L19" s="27"/>
      <c r="M19" s="27"/>
      <c r="N19" s="27"/>
    </row>
    <row r="20" spans="1:14" x14ac:dyDescent="0.25">
      <c r="D20" t="s">
        <v>726</v>
      </c>
      <c r="E20" s="75">
        <f>'OLAH DATA PERITEM IDM 2020'!M28</f>
        <v>0.2</v>
      </c>
      <c r="H20" s="71"/>
      <c r="J20" s="27"/>
      <c r="K20" s="27"/>
      <c r="L20" s="27"/>
      <c r="M20" s="27"/>
      <c r="N20" s="27"/>
    </row>
    <row r="21" spans="1:14" x14ac:dyDescent="0.25">
      <c r="D21" t="s">
        <v>727</v>
      </c>
      <c r="E21" s="75">
        <f>'OLAH DATA PERITEM IDM 2020'!M29</f>
        <v>1</v>
      </c>
      <c r="H21" s="71"/>
    </row>
    <row r="22" spans="1:14" x14ac:dyDescent="0.25">
      <c r="D22" t="s">
        <v>728</v>
      </c>
      <c r="E22" s="75">
        <f>'OLAH DATA PERITEM IDM 2020'!M30</f>
        <v>0.2</v>
      </c>
      <c r="H22" s="71"/>
    </row>
    <row r="23" spans="1:14" x14ac:dyDescent="0.25">
      <c r="B23" t="s">
        <v>729</v>
      </c>
      <c r="C23" s="75">
        <f>SUM('OLAH DATA PERITEM IDM 2020'!J31:J33)</f>
        <v>1</v>
      </c>
      <c r="D23" t="s">
        <v>730</v>
      </c>
      <c r="E23" s="75">
        <f>'OLAH DATA PERITEM IDM 2020'!M31</f>
        <v>1</v>
      </c>
      <c r="H23" s="71"/>
    </row>
    <row r="24" spans="1:14" x14ac:dyDescent="0.25">
      <c r="D24" t="s">
        <v>731</v>
      </c>
      <c r="E24" s="75">
        <f>'OLAH DATA PERITEM IDM 2020'!M32</f>
        <v>1</v>
      </c>
      <c r="H24" s="71"/>
    </row>
    <row r="25" spans="1:14" x14ac:dyDescent="0.25">
      <c r="D25" t="s">
        <v>732</v>
      </c>
      <c r="E25" s="75">
        <f>'OLAH DATA PERITEM IDM 2020'!M33</f>
        <v>1</v>
      </c>
      <c r="H25" s="71"/>
    </row>
    <row r="26" spans="1:14" x14ac:dyDescent="0.25">
      <c r="B26" t="s">
        <v>733</v>
      </c>
      <c r="C26" s="75">
        <f>SUM('OLAH DATA PERITEM IDM 2020'!J34:J36)</f>
        <v>1</v>
      </c>
      <c r="D26" t="s">
        <v>734</v>
      </c>
      <c r="E26" s="75">
        <f>'OLAH DATA PERITEM IDM 2020'!M34</f>
        <v>1</v>
      </c>
      <c r="H26" s="71"/>
    </row>
    <row r="27" spans="1:14" x14ac:dyDescent="0.25">
      <c r="D27" t="s">
        <v>735</v>
      </c>
      <c r="E27" s="75">
        <f>'OLAH DATA PERITEM IDM 2020'!M35</f>
        <v>1</v>
      </c>
    </row>
    <row r="28" spans="1:14" x14ac:dyDescent="0.25">
      <c r="D28" t="s">
        <v>736</v>
      </c>
      <c r="E28" s="75">
        <f>'OLAH DATA PERITEM IDM 2020'!M36</f>
        <v>1</v>
      </c>
    </row>
    <row r="29" spans="1:14" x14ac:dyDescent="0.25">
      <c r="B29" t="s">
        <v>643</v>
      </c>
      <c r="C29" s="75">
        <f>SUM('OLAH DATA PERITEM IDM 2020'!J37:J38)</f>
        <v>1</v>
      </c>
      <c r="D29" t="s">
        <v>737</v>
      </c>
      <c r="E29" s="75">
        <f>'OLAH DATA PERITEM IDM 2020'!M37</f>
        <v>1</v>
      </c>
    </row>
    <row r="30" spans="1:14" x14ac:dyDescent="0.25">
      <c r="D30" t="s">
        <v>738</v>
      </c>
      <c r="E30" s="75">
        <f>'OLAH DATA PERITEM IDM 2020'!M38</f>
        <v>1</v>
      </c>
    </row>
    <row r="32" spans="1:14" x14ac:dyDescent="0.25">
      <c r="A32" s="64" t="s">
        <v>788</v>
      </c>
      <c r="B32" s="66" t="s">
        <v>789</v>
      </c>
      <c r="C32" s="75">
        <f>SUM('OLAH DATA PERITEM IDM 2020'!G39:G46)</f>
        <v>0.875</v>
      </c>
    </row>
    <row r="33" spans="2:5" x14ac:dyDescent="0.25">
      <c r="B33" t="s">
        <v>739</v>
      </c>
      <c r="C33" s="75">
        <f>SUM('OLAH DATA PERITEM IDM 2020'!J39:J40)</f>
        <v>0.8</v>
      </c>
      <c r="D33" t="s">
        <v>740</v>
      </c>
      <c r="E33" s="75">
        <f>'OLAH DATA PERITEM IDM 2020'!M39</f>
        <v>0.8</v>
      </c>
    </row>
    <row r="34" spans="2:5" x14ac:dyDescent="0.25">
      <c r="D34" t="s">
        <v>741</v>
      </c>
      <c r="E34" s="75">
        <f>'OLAH DATA PERITEM IDM 2020'!M40</f>
        <v>0.8</v>
      </c>
    </row>
    <row r="35" spans="2:5" x14ac:dyDescent="0.25">
      <c r="B35" t="s">
        <v>742</v>
      </c>
      <c r="C35" s="75">
        <f>SUM('OLAH DATA PERITEM IDM 2020'!J41:J42)</f>
        <v>0.9</v>
      </c>
      <c r="D35" t="s">
        <v>743</v>
      </c>
      <c r="E35" s="75">
        <f>'OLAH DATA PERITEM IDM 2020'!M41</f>
        <v>1</v>
      </c>
    </row>
    <row r="36" spans="2:5" x14ac:dyDescent="0.25">
      <c r="D36" t="s">
        <v>744</v>
      </c>
      <c r="E36" s="75">
        <f>'OLAH DATA PERITEM IDM 2020'!M42</f>
        <v>0.8</v>
      </c>
    </row>
    <row r="37" spans="2:5" x14ac:dyDescent="0.25">
      <c r="B37" t="s">
        <v>745</v>
      </c>
      <c r="C37" s="75">
        <f>'OLAH DATA PERITEM IDM 2020'!J43</f>
        <v>1</v>
      </c>
      <c r="D37" t="s">
        <v>746</v>
      </c>
      <c r="E37" s="75">
        <f>'OLAH DATA PERITEM IDM 2020'!M43</f>
        <v>1</v>
      </c>
    </row>
    <row r="38" spans="2:5" x14ac:dyDescent="0.25">
      <c r="B38" t="s">
        <v>747</v>
      </c>
      <c r="C38" s="75">
        <f>'OLAH DATA PERITEM IDM 2020'!J44</f>
        <v>0.8666666666666667</v>
      </c>
      <c r="D38" t="s">
        <v>748</v>
      </c>
      <c r="E38" s="75">
        <f>'OLAH DATA PERITEM IDM 2020'!M44</f>
        <v>0.6</v>
      </c>
    </row>
    <row r="39" spans="2:5" x14ac:dyDescent="0.25">
      <c r="D39" t="s">
        <v>749</v>
      </c>
      <c r="E39" s="75">
        <f>'OLAH DATA PERITEM IDM 2020'!M45</f>
        <v>1</v>
      </c>
    </row>
    <row r="40" spans="2:5" x14ac:dyDescent="0.25">
      <c r="D40" t="s">
        <v>750</v>
      </c>
      <c r="E40" s="75">
        <f>'OLAH DATA PERITEM IDM 2020'!M46</f>
        <v>1</v>
      </c>
    </row>
  </sheetData>
  <sheetProtection algorithmName="SHA-512" hashValue="HFAVXWeu/Wl5ySiLJh5vDBL2Z1B2QgmxYQbbK/MR0xtlY5LGluPhCX/qWHekzK55a6c/0v/beubITPUuozENiQ==" saltValue="MdZNkDR5HJZ/mTKmN0u8SQ==" spinCount="100000" sheet="1" objects="1" scenarios="1"/>
  <protectedRanges>
    <protectedRange sqref="A1:B1048576" name="Range1"/>
    <protectedRange sqref="D1:D1048576" name="Range2"/>
  </protectedRanges>
  <mergeCells count="6">
    <mergeCell ref="K14:K15"/>
    <mergeCell ref="L14:L15"/>
    <mergeCell ref="M14:M15"/>
    <mergeCell ref="K16:K17"/>
    <mergeCell ref="L16:L17"/>
    <mergeCell ref="M16:M1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E18"/>
  <sheetViews>
    <sheetView zoomScale="85" zoomScaleNormal="85" workbookViewId="0">
      <selection activeCell="A14" sqref="A14"/>
    </sheetView>
  </sheetViews>
  <sheetFormatPr defaultRowHeight="15" x14ac:dyDescent="0.25"/>
  <cols>
    <col min="1" max="1" width="2.28515625" bestFit="1" customWidth="1"/>
    <col min="2" max="2" width="48.85546875" bestFit="1" customWidth="1"/>
    <col min="3" max="3" width="4.5703125" bestFit="1" customWidth="1"/>
    <col min="4" max="4" width="67.28515625" bestFit="1" customWidth="1"/>
    <col min="5" max="5" width="4.5703125" bestFit="1" customWidth="1"/>
    <col min="6" max="6" width="67.28515625" bestFit="1" customWidth="1"/>
    <col min="7" max="7" width="4" bestFit="1" customWidth="1"/>
  </cols>
  <sheetData>
    <row r="1" spans="1:5" x14ac:dyDescent="0.25">
      <c r="A1" t="s">
        <v>783</v>
      </c>
      <c r="B1" s="66" t="s">
        <v>752</v>
      </c>
    </row>
    <row r="2" spans="1:5" x14ac:dyDescent="0.25">
      <c r="B2" t="s">
        <v>657</v>
      </c>
      <c r="C2" s="75">
        <f>SUM('OLAH DATA PERITEM IDM 2020'!J47)</f>
        <v>1</v>
      </c>
      <c r="D2" t="s">
        <v>753</v>
      </c>
      <c r="E2" s="75">
        <f>'OLAH DATA PERITEM IDM 2020'!M47</f>
        <v>1</v>
      </c>
    </row>
    <row r="3" spans="1:5" x14ac:dyDescent="0.25">
      <c r="A3" s="66" t="s">
        <v>786</v>
      </c>
      <c r="B3" s="66" t="s">
        <v>754</v>
      </c>
      <c r="C3" s="75"/>
      <c r="E3" s="75"/>
    </row>
    <row r="4" spans="1:5" x14ac:dyDescent="0.25">
      <c r="A4" s="66"/>
      <c r="B4" t="s">
        <v>755</v>
      </c>
      <c r="C4" s="75">
        <f>SUM('OLAH DATA PERITEM IDM 2020'!J48:J50)</f>
        <v>0.53333333333333333</v>
      </c>
      <c r="D4" t="s">
        <v>756</v>
      </c>
      <c r="E4" s="75">
        <f>'OLAH DATA PERITEM IDM 2020'!M48</f>
        <v>0.4</v>
      </c>
    </row>
    <row r="5" spans="1:5" x14ac:dyDescent="0.25">
      <c r="C5" s="75"/>
      <c r="D5" t="s">
        <v>757</v>
      </c>
      <c r="E5" s="75">
        <f>'OLAH DATA PERITEM IDM 2020'!M49</f>
        <v>0.2</v>
      </c>
    </row>
    <row r="6" spans="1:5" x14ac:dyDescent="0.25">
      <c r="C6" s="75"/>
      <c r="D6" t="s">
        <v>758</v>
      </c>
      <c r="E6" s="75">
        <f>'OLAH DATA PERITEM IDM 2020'!M50</f>
        <v>1</v>
      </c>
    </row>
    <row r="7" spans="1:5" x14ac:dyDescent="0.25">
      <c r="A7" s="66" t="s">
        <v>787</v>
      </c>
      <c r="B7" s="66" t="s">
        <v>759</v>
      </c>
      <c r="C7" s="75"/>
      <c r="E7" s="75"/>
    </row>
    <row r="8" spans="1:5" x14ac:dyDescent="0.25">
      <c r="A8" s="66"/>
      <c r="B8" t="s">
        <v>760</v>
      </c>
      <c r="C8" s="75">
        <f>SUM('OLAH DATA PERITEM IDM 2020'!J51)</f>
        <v>0</v>
      </c>
      <c r="D8" t="s">
        <v>761</v>
      </c>
      <c r="E8" s="75">
        <f>'OLAH DATA PERITEM IDM 2020'!M51</f>
        <v>0</v>
      </c>
    </row>
    <row r="9" spans="1:5" x14ac:dyDescent="0.25">
      <c r="A9" s="66" t="s">
        <v>788</v>
      </c>
      <c r="B9" s="66" t="s">
        <v>762</v>
      </c>
      <c r="C9" s="75"/>
      <c r="E9" s="75"/>
    </row>
    <row r="10" spans="1:5" x14ac:dyDescent="0.25">
      <c r="A10" s="66"/>
      <c r="B10" t="s">
        <v>763</v>
      </c>
      <c r="C10" s="75">
        <f>SUM('OLAH DATA PERITEM IDM 2020'!J52:J53)</f>
        <v>0.2</v>
      </c>
      <c r="D10" t="s">
        <v>764</v>
      </c>
      <c r="E10" s="75">
        <f>'OLAH DATA PERITEM IDM 2020'!M52</f>
        <v>0</v>
      </c>
    </row>
    <row r="11" spans="1:5" x14ac:dyDescent="0.25">
      <c r="C11" s="75"/>
      <c r="D11" t="s">
        <v>765</v>
      </c>
      <c r="E11" s="75">
        <f>'OLAH DATA PERITEM IDM 2020'!M53</f>
        <v>0.4</v>
      </c>
    </row>
    <row r="12" spans="1:5" x14ac:dyDescent="0.25">
      <c r="A12" s="66" t="s">
        <v>791</v>
      </c>
      <c r="B12" s="66" t="s">
        <v>766</v>
      </c>
      <c r="C12" s="75"/>
      <c r="E12" s="75"/>
    </row>
    <row r="13" spans="1:5" x14ac:dyDescent="0.25">
      <c r="A13" s="66"/>
      <c r="B13" t="s">
        <v>767</v>
      </c>
      <c r="C13" s="75">
        <f>SUM('OLAH DATA PERITEM IDM 2020'!J54:J55)</f>
        <v>0.8</v>
      </c>
      <c r="D13" t="s">
        <v>768</v>
      </c>
      <c r="E13" s="75">
        <f>'OLAH DATA PERITEM IDM 2020'!M54</f>
        <v>1</v>
      </c>
    </row>
    <row r="14" spans="1:5" x14ac:dyDescent="0.25">
      <c r="C14" s="75"/>
      <c r="D14" t="s">
        <v>769</v>
      </c>
      <c r="E14" s="75">
        <f>'OLAH DATA PERITEM IDM 2020'!M55</f>
        <v>0.6</v>
      </c>
    </row>
    <row r="15" spans="1:5" x14ac:dyDescent="0.25">
      <c r="A15" s="66" t="s">
        <v>792</v>
      </c>
      <c r="B15" s="66" t="s">
        <v>770</v>
      </c>
      <c r="C15" s="75"/>
      <c r="E15" s="75"/>
    </row>
    <row r="16" spans="1:5" x14ac:dyDescent="0.25">
      <c r="B16" t="s">
        <v>662</v>
      </c>
      <c r="C16" s="75">
        <f>SUM('OLAH DATA PERITEM IDM 2020'!J56:J58)</f>
        <v>0.8</v>
      </c>
      <c r="D16" t="s">
        <v>771</v>
      </c>
      <c r="E16" s="75">
        <f>'OLAH DATA PERITEM IDM 2020'!M56</f>
        <v>0.6</v>
      </c>
    </row>
    <row r="17" spans="3:5" x14ac:dyDescent="0.25">
      <c r="C17" s="75"/>
      <c r="D17" t="s">
        <v>772</v>
      </c>
      <c r="E17" s="75">
        <f>'OLAH DATA PERITEM IDM 2020'!M57</f>
        <v>1</v>
      </c>
    </row>
    <row r="18" spans="3:5" x14ac:dyDescent="0.25">
      <c r="C18" s="75"/>
      <c r="D18" t="s">
        <v>773</v>
      </c>
      <c r="E18" s="75">
        <f>'OLAH DATA PERITEM IDM 2020'!M58</f>
        <v>0.8</v>
      </c>
    </row>
  </sheetData>
  <sheetProtection algorithmName="SHA-512" hashValue="dH8iJaM/7Tpty5WloSIfNO8zFF7blrizH80fUL+JQ41mwHlQMqk59TOqW5Nt4F/O/SqU6WTg4gKfawIxJLp+BQ==" saltValue="QitGXav9mdrPsCVbQck/4w==" spinCount="100000" sheet="1" objects="1" scenarios="1"/>
  <protectedRanges>
    <protectedRange sqref="D1:D1048576 A1:B1048576" name="Range1"/>
  </protectedRange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E5"/>
  <sheetViews>
    <sheetView zoomScale="85" zoomScaleNormal="85" workbookViewId="0">
      <selection activeCell="A14" sqref="A14"/>
    </sheetView>
  </sheetViews>
  <sheetFormatPr defaultRowHeight="15" x14ac:dyDescent="0.25"/>
  <cols>
    <col min="1" max="1" width="2.28515625" bestFit="1" customWidth="1"/>
    <col min="2" max="2" width="32.28515625" bestFit="1" customWidth="1"/>
    <col min="3" max="3" width="4.5703125" bestFit="1" customWidth="1"/>
    <col min="4" max="4" width="59.85546875" bestFit="1" customWidth="1"/>
  </cols>
  <sheetData>
    <row r="1" spans="1:5" x14ac:dyDescent="0.25">
      <c r="A1" s="66" t="s">
        <v>783</v>
      </c>
      <c r="B1" s="66" t="s">
        <v>775</v>
      </c>
      <c r="C1" s="76">
        <f>'OLAH DATA PERITEM IDM 2020'!G59</f>
        <v>1</v>
      </c>
    </row>
    <row r="2" spans="1:5" x14ac:dyDescent="0.25">
      <c r="A2" s="66"/>
      <c r="B2" s="67" t="s">
        <v>776</v>
      </c>
      <c r="C2" s="77">
        <f>'OLAH DATA PERITEM IDM 2020'!J59</f>
        <v>1</v>
      </c>
      <c r="D2" t="s">
        <v>777</v>
      </c>
      <c r="E2" s="75">
        <f>'OLAH DATA PERITEM IDM 2020'!M59</f>
        <v>1</v>
      </c>
    </row>
    <row r="3" spans="1:5" x14ac:dyDescent="0.25">
      <c r="A3" s="66" t="s">
        <v>786</v>
      </c>
      <c r="B3" s="66" t="s">
        <v>778</v>
      </c>
      <c r="C3" s="76">
        <f>SUM('OLAH DATA PERITEM IDM 2020'!G60:G61)</f>
        <v>0.9</v>
      </c>
      <c r="E3" s="75"/>
    </row>
    <row r="4" spans="1:5" x14ac:dyDescent="0.25">
      <c r="B4" t="s">
        <v>779</v>
      </c>
      <c r="C4" s="75">
        <f>'OLAH DATA PERITEM IDM 2020'!J60</f>
        <v>1</v>
      </c>
      <c r="D4" t="s">
        <v>780</v>
      </c>
      <c r="E4" s="75">
        <f>'OLAH DATA PERITEM IDM 2020'!M60</f>
        <v>1</v>
      </c>
    </row>
    <row r="5" spans="1:5" x14ac:dyDescent="0.25">
      <c r="B5" t="s">
        <v>781</v>
      </c>
      <c r="C5" s="75">
        <f>'OLAH DATA PERITEM IDM 2020'!J61</f>
        <v>0.8</v>
      </c>
      <c r="D5" t="s">
        <v>782</v>
      </c>
      <c r="E5" s="75">
        <f>'OLAH DATA PERITEM IDM 2020'!M61</f>
        <v>0.8</v>
      </c>
    </row>
  </sheetData>
  <sheetProtection algorithmName="SHA-512" hashValue="/6mzAldyaNaSgdx27UdMkQvo/F5RkAuPDouqW75ucKsum0Pwb2twaQKsS4gxPkr9ZmPnEsSL9VVISJhqc3daAA==" saltValue="+wxIzFifAxDJMfT4pQjZ/A==" spinCount="100000" sheet="1" objects="1" scenarios="1"/>
  <protectedRanges>
    <protectedRange sqref="A1:B1048576 D1:D1048576" name="Range1"/>
  </protectedRange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B4"/>
  <sheetViews>
    <sheetView zoomScale="70" zoomScaleNormal="70" workbookViewId="0">
      <selection activeCell="A14" sqref="A14"/>
    </sheetView>
  </sheetViews>
  <sheetFormatPr defaultRowHeight="15" x14ac:dyDescent="0.25"/>
  <cols>
    <col min="1" max="1" width="18.5703125" bestFit="1" customWidth="1"/>
    <col min="2" max="2" width="5.5703125" style="68" bestFit="1" customWidth="1"/>
  </cols>
  <sheetData>
    <row r="1" spans="1:2" x14ac:dyDescent="0.25">
      <c r="A1" s="501" t="str">
        <f>"DESA"&amp;" "&amp;'OLAH DATA PERITEM IDM 2020'!C6</f>
        <v>DESA GEDANGAN</v>
      </c>
      <c r="B1" s="501"/>
    </row>
    <row r="2" spans="1:2" x14ac:dyDescent="0.25">
      <c r="A2" t="s">
        <v>793</v>
      </c>
      <c r="B2" s="68">
        <f>SUM('OLAH DATA PERITEM IDM 2020'!D15:D32)</f>
        <v>0.76</v>
      </c>
    </row>
    <row r="3" spans="1:2" x14ac:dyDescent="0.25">
      <c r="A3" t="s">
        <v>794</v>
      </c>
      <c r="B3" s="68">
        <f>SUM('OLAH DATA PERITEM IDM 2020'!D47:D58)</f>
        <v>0.58333333333333337</v>
      </c>
    </row>
    <row r="4" spans="1:2" x14ac:dyDescent="0.25">
      <c r="A4" t="s">
        <v>795</v>
      </c>
      <c r="B4" s="68">
        <f>SUM('OLAH DATA PERITEM IDM 2020'!D59:D61)</f>
        <v>0.93333333333333335</v>
      </c>
    </row>
  </sheetData>
  <sheetProtection algorithmName="SHA-512" hashValue="kmZHl+3ogzaNQRmB1uwAhWwCXsvYmYbahRnz4ah2MKUQpSGx431wDK8HRDwo4PsqjW3pV1ydDMEko37AA11p9w==" saltValue="9ghpq4xxFOFZWDJdJVTg1g==" spinCount="100000" sheet="1" objects="1" scenarios="1"/>
  <protectedRanges>
    <protectedRange sqref="C1:C1048576" name="Range1"/>
  </protectedRanges>
  <mergeCells count="1">
    <mergeCell ref="A1:B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1">
    <pageSetUpPr fitToPage="1"/>
  </sheetPr>
  <dimension ref="A1:O66"/>
  <sheetViews>
    <sheetView zoomScale="85" zoomScaleNormal="85" workbookViewId="0">
      <pane ySplit="10" topLeftCell="A11" activePane="bottomLeft" state="frozen"/>
      <selection pane="bottomLeft" activeCell="P12" sqref="P12"/>
    </sheetView>
  </sheetViews>
  <sheetFormatPr defaultRowHeight="15" x14ac:dyDescent="0.25"/>
  <cols>
    <col min="1" max="1" width="58.5703125" style="202" customWidth="1"/>
    <col min="2" max="2" width="9.140625" style="296" customWidth="1"/>
    <col min="3" max="3" width="24.42578125" style="305" bestFit="1" customWidth="1"/>
    <col min="4" max="4" width="5.7109375" style="296" hidden="1" customWidth="1"/>
    <col min="5" max="5" width="7.7109375" style="296" hidden="1" customWidth="1"/>
    <col min="6" max="6" width="33.5703125" style="303" customWidth="1"/>
    <col min="7" max="7" width="6.7109375" style="296" hidden="1" customWidth="1"/>
    <col min="8" max="8" width="12.28515625" style="296" hidden="1" customWidth="1"/>
    <col min="9" max="9" width="57.85546875" style="303" customWidth="1"/>
    <col min="10" max="10" width="5.85546875" style="296" hidden="1" customWidth="1"/>
    <col min="11" max="11" width="21.28515625" style="305" customWidth="1"/>
    <col min="12" max="12" width="8.28515625" style="304" customWidth="1"/>
    <col min="13" max="13" width="34.42578125" style="305" bestFit="1" customWidth="1"/>
    <col min="14" max="14" width="14.5703125" bestFit="1" customWidth="1"/>
  </cols>
  <sheetData>
    <row r="1" spans="1:15" ht="31.5" x14ac:dyDescent="0.5">
      <c r="A1" s="509" t="s">
        <v>1700</v>
      </c>
      <c r="B1" s="509"/>
      <c r="C1" s="509"/>
      <c r="D1" s="509"/>
      <c r="E1" s="509"/>
      <c r="F1" s="509"/>
      <c r="G1" s="509"/>
      <c r="H1" s="509"/>
      <c r="I1" s="509"/>
      <c r="J1" s="509"/>
      <c r="K1" s="509"/>
      <c r="L1" s="509"/>
      <c r="M1" s="509"/>
      <c r="N1" s="278"/>
    </row>
    <row r="2" spans="1:15" x14ac:dyDescent="0.25">
      <c r="A2"/>
      <c r="B2" s="36"/>
      <c r="C2" s="28"/>
      <c r="D2" s="36"/>
      <c r="E2" s="36"/>
      <c r="F2" s="92"/>
      <c r="G2" s="36"/>
      <c r="H2" s="36"/>
      <c r="I2" s="92"/>
      <c r="J2" s="36"/>
      <c r="K2" s="28"/>
      <c r="L2" s="277"/>
      <c r="M2" s="28"/>
    </row>
    <row r="3" spans="1:15" x14ac:dyDescent="0.25">
      <c r="A3" s="66" t="s">
        <v>1282</v>
      </c>
      <c r="B3" s="229" t="s">
        <v>1243</v>
      </c>
      <c r="C3" s="231" t="str">
        <f>UPPER('INPUTAN DESA ....'!G22)</f>
        <v>GEDANGAN</v>
      </c>
      <c r="D3" s="229"/>
      <c r="E3" s="229"/>
      <c r="F3" s="92"/>
      <c r="G3" s="36"/>
      <c r="H3" s="36"/>
      <c r="I3" s="92"/>
      <c r="J3" s="36"/>
      <c r="K3" s="28"/>
      <c r="L3" s="277"/>
      <c r="M3" s="28"/>
    </row>
    <row r="4" spans="1:15" x14ac:dyDescent="0.25">
      <c r="A4" s="66" t="s">
        <v>1281</v>
      </c>
      <c r="B4" s="229" t="s">
        <v>1243</v>
      </c>
      <c r="C4" s="231" t="str">
        <f>UPPER('INPUTAN DESA ....'!G20)</f>
        <v>GEDANGAN</v>
      </c>
      <c r="D4" s="229"/>
      <c r="E4" s="229"/>
      <c r="F4" s="92"/>
      <c r="G4" s="36"/>
      <c r="H4" s="36"/>
      <c r="I4" s="92"/>
      <c r="J4" s="36"/>
      <c r="K4" s="28"/>
      <c r="L4" s="277"/>
      <c r="M4" s="28"/>
    </row>
    <row r="5" spans="1:15" x14ac:dyDescent="0.25">
      <c r="A5" s="66" t="s">
        <v>1283</v>
      </c>
      <c r="B5" s="229" t="s">
        <v>1243</v>
      </c>
      <c r="C5" s="231" t="str">
        <f>UPPER('INPUTAN DESA ....'!G18)</f>
        <v>KABUPATEN MALANG</v>
      </c>
      <c r="D5" s="229"/>
      <c r="E5" s="229"/>
      <c r="F5" s="92"/>
      <c r="G5" s="36"/>
      <c r="H5" s="36"/>
      <c r="I5" s="92"/>
      <c r="J5" s="36"/>
      <c r="K5" s="28"/>
      <c r="L5" s="277"/>
      <c r="M5" s="28"/>
    </row>
    <row r="6" spans="1:15" x14ac:dyDescent="0.25">
      <c r="A6" s="66" t="s">
        <v>1284</v>
      </c>
      <c r="B6" s="229" t="s">
        <v>1243</v>
      </c>
      <c r="C6" s="231" t="str">
        <f>UPPER('INPUTAN DESA ....'!G16)</f>
        <v>JAWA TIMUR</v>
      </c>
      <c r="D6" s="229"/>
      <c r="E6" s="229"/>
      <c r="F6" s="92"/>
      <c r="G6" s="36"/>
      <c r="H6" s="36"/>
      <c r="I6" s="92"/>
      <c r="J6" s="36"/>
      <c r="K6" s="28"/>
      <c r="L6" s="277"/>
      <c r="M6" s="28"/>
    </row>
    <row r="7" spans="1:15" x14ac:dyDescent="0.25">
      <c r="A7" s="66" t="s">
        <v>1285</v>
      </c>
      <c r="B7" s="229" t="s">
        <v>1243</v>
      </c>
      <c r="C7" s="231" t="str">
        <f>UPPER('INPUTAN DESA ....'!G894)</f>
        <v>MAJU</v>
      </c>
      <c r="D7" s="229"/>
      <c r="E7" s="229"/>
      <c r="F7" s="92"/>
      <c r="G7" s="36"/>
      <c r="H7" s="36"/>
      <c r="I7" s="92"/>
      <c r="J7" s="36"/>
      <c r="K7" s="28"/>
      <c r="L7" s="277"/>
      <c r="M7" s="28"/>
    </row>
    <row r="8" spans="1:15" x14ac:dyDescent="0.25">
      <c r="A8" s="66" t="s">
        <v>1286</v>
      </c>
      <c r="B8" s="229" t="s">
        <v>1243</v>
      </c>
      <c r="C8" s="230">
        <f>'INPUTAN DESA ....'!G893</f>
        <v>0.75888888888888884</v>
      </c>
      <c r="D8" s="232"/>
      <c r="E8" s="232"/>
      <c r="F8" s="92"/>
      <c r="G8" s="36"/>
      <c r="H8" s="36"/>
      <c r="I8" s="92"/>
      <c r="J8" s="36"/>
      <c r="K8" s="28"/>
      <c r="L8" s="277"/>
      <c r="M8" s="28"/>
    </row>
    <row r="9" spans="1:15" ht="15.75" thickBot="1" x14ac:dyDescent="0.3">
      <c r="A9"/>
      <c r="B9" s="36"/>
      <c r="C9" s="28"/>
      <c r="D9" s="36"/>
      <c r="E9" s="36"/>
      <c r="F9" s="92"/>
      <c r="G9" s="36"/>
      <c r="H9" s="36"/>
      <c r="I9" s="92"/>
      <c r="J9" s="36"/>
      <c r="K9" s="28"/>
      <c r="L9" s="277"/>
      <c r="M9" s="28"/>
    </row>
    <row r="10" spans="1:15" ht="39.75" customHeight="1" thickBot="1" x14ac:dyDescent="0.3">
      <c r="A10" s="515" t="s">
        <v>1185</v>
      </c>
      <c r="B10" s="515"/>
      <c r="C10" s="369" t="s">
        <v>705</v>
      </c>
      <c r="D10" s="369" t="s">
        <v>701</v>
      </c>
      <c r="E10" s="369" t="s">
        <v>1278</v>
      </c>
      <c r="F10" s="370" t="s">
        <v>1186</v>
      </c>
      <c r="G10" s="369" t="s">
        <v>701</v>
      </c>
      <c r="H10" s="369" t="s">
        <v>1278</v>
      </c>
      <c r="I10" s="370" t="s">
        <v>1277</v>
      </c>
      <c r="J10" s="369" t="s">
        <v>701</v>
      </c>
      <c r="K10" s="516" t="s">
        <v>1244</v>
      </c>
      <c r="L10" s="516"/>
      <c r="M10" s="369" t="s">
        <v>1245</v>
      </c>
    </row>
    <row r="11" spans="1:15" ht="19.5" thickBot="1" x14ac:dyDescent="0.3">
      <c r="A11" s="518" t="s">
        <v>790</v>
      </c>
      <c r="B11" s="518"/>
      <c r="C11" s="519" t="s">
        <v>620</v>
      </c>
      <c r="D11" s="310">
        <f>SUM(G11:G15)</f>
        <v>22</v>
      </c>
      <c r="E11" s="359">
        <f>D11/35</f>
        <v>0.62857142857142856</v>
      </c>
      <c r="F11" s="513" t="s">
        <v>706</v>
      </c>
      <c r="G11" s="358">
        <f>SUM(J11:J12)</f>
        <v>10</v>
      </c>
      <c r="H11" s="236">
        <f>G11/20</f>
        <v>0.5</v>
      </c>
      <c r="I11" s="279" t="s">
        <v>1246</v>
      </c>
      <c r="J11" s="356">
        <f>'OLAH DATA PERITEM IDM 2020'!L15</f>
        <v>5</v>
      </c>
      <c r="K11" s="316">
        <f>L11</f>
        <v>1</v>
      </c>
      <c r="L11" s="321">
        <f>'OLAH DATA PERITEM IDM 2020'!M15</f>
        <v>1</v>
      </c>
      <c r="M11" s="237" t="s">
        <v>1247</v>
      </c>
    </row>
    <row r="12" spans="1:15" ht="34.5" customHeight="1" thickBot="1" x14ac:dyDescent="0.3">
      <c r="A12" s="239" t="s">
        <v>237</v>
      </c>
      <c r="B12" s="365">
        <f>SUM(D11,D16,D23,D35)/175</f>
        <v>0.76</v>
      </c>
      <c r="C12" s="520"/>
      <c r="D12" s="311"/>
      <c r="E12" s="360"/>
      <c r="F12" s="514"/>
      <c r="G12" s="241"/>
      <c r="H12" s="241"/>
      <c r="I12" s="280" t="s">
        <v>708</v>
      </c>
      <c r="J12" s="356">
        <f>'OLAH DATA PERITEM IDM 2020'!L16</f>
        <v>5</v>
      </c>
      <c r="K12" s="317">
        <f t="shared" ref="K12:K57" si="0">L12</f>
        <v>0.33333333333333331</v>
      </c>
      <c r="L12" s="322">
        <f>'OLAH DATA PERITEM IDM 2020'!M16</f>
        <v>0.33333333333333331</v>
      </c>
      <c r="M12" s="242" t="s">
        <v>1248</v>
      </c>
      <c r="O12" s="371"/>
    </row>
    <row r="13" spans="1:15" ht="16.5" thickBot="1" x14ac:dyDescent="0.3">
      <c r="A13" s="240" t="s">
        <v>620</v>
      </c>
      <c r="B13" s="244">
        <f>E11</f>
        <v>0.62857142857142856</v>
      </c>
      <c r="C13" s="520"/>
      <c r="D13" s="311"/>
      <c r="E13" s="360"/>
      <c r="F13" s="514" t="s">
        <v>709</v>
      </c>
      <c r="G13" s="245">
        <f>SUM(J13:J14)</f>
        <v>10</v>
      </c>
      <c r="H13" s="245">
        <f>G13/10</f>
        <v>1</v>
      </c>
      <c r="I13" s="280" t="s">
        <v>710</v>
      </c>
      <c r="J13" s="356">
        <f>'OLAH DATA PERITEM IDM 2020'!L17</f>
        <v>5</v>
      </c>
      <c r="K13" s="317">
        <f t="shared" si="0"/>
        <v>1</v>
      </c>
      <c r="L13" s="322">
        <f>'OLAH DATA PERITEM IDM 2020'!M17</f>
        <v>1</v>
      </c>
      <c r="M13" s="242" t="s">
        <v>1247</v>
      </c>
    </row>
    <row r="14" spans="1:15" ht="16.5" thickBot="1" x14ac:dyDescent="0.3">
      <c r="A14" s="235" t="s">
        <v>632</v>
      </c>
      <c r="B14" s="244">
        <f>E16</f>
        <v>0.54285714285714282</v>
      </c>
      <c r="C14" s="520"/>
      <c r="D14" s="311"/>
      <c r="E14" s="360"/>
      <c r="F14" s="514"/>
      <c r="G14" s="245"/>
      <c r="H14" s="245"/>
      <c r="I14" s="280" t="s">
        <v>711</v>
      </c>
      <c r="J14" s="356">
        <f>'OLAH DATA PERITEM IDM 2020'!L18</f>
        <v>5</v>
      </c>
      <c r="K14" s="317">
        <f t="shared" si="0"/>
        <v>1</v>
      </c>
      <c r="L14" s="322">
        <f>'OLAH DATA PERITEM IDM 2020'!M18</f>
        <v>1</v>
      </c>
      <c r="M14" s="242" t="s">
        <v>1249</v>
      </c>
    </row>
    <row r="15" spans="1:15" ht="16.5" thickBot="1" x14ac:dyDescent="0.3">
      <c r="A15" s="235" t="s">
        <v>723</v>
      </c>
      <c r="B15" s="244">
        <f>E23</f>
        <v>0.87692307692307692</v>
      </c>
      <c r="C15" s="521"/>
      <c r="D15" s="312"/>
      <c r="E15" s="361"/>
      <c r="F15" s="252" t="s">
        <v>712</v>
      </c>
      <c r="G15" s="246">
        <f>J15</f>
        <v>2</v>
      </c>
      <c r="H15" s="246">
        <f>G15/5</f>
        <v>0.4</v>
      </c>
      <c r="I15" s="281" t="s">
        <v>629</v>
      </c>
      <c r="J15" s="356">
        <f>'OLAH DATA PERITEM IDM 2020'!L19</f>
        <v>2</v>
      </c>
      <c r="K15" s="318">
        <f t="shared" si="0"/>
        <v>0.4</v>
      </c>
      <c r="L15" s="323">
        <f>'OLAH DATA PERITEM IDM 2020'!M19</f>
        <v>0.4</v>
      </c>
      <c r="M15" s="247" t="s">
        <v>1250</v>
      </c>
    </row>
    <row r="16" spans="1:15" ht="16.5" thickBot="1" x14ac:dyDescent="0.3">
      <c r="A16" s="235" t="s">
        <v>645</v>
      </c>
      <c r="B16" s="244">
        <f>E35</f>
        <v>0.875</v>
      </c>
      <c r="C16" s="519" t="s">
        <v>632</v>
      </c>
      <c r="D16" s="310">
        <f>SUM(G16:G22)</f>
        <v>19</v>
      </c>
      <c r="E16" s="359">
        <f>D16/35</f>
        <v>0.54285714285714282</v>
      </c>
      <c r="F16" s="513" t="s">
        <v>713</v>
      </c>
      <c r="G16" s="249">
        <f>SUM(J16:J18)</f>
        <v>11</v>
      </c>
      <c r="H16" s="249">
        <f>G16/15</f>
        <v>0.73333333333333328</v>
      </c>
      <c r="I16" s="279" t="s">
        <v>714</v>
      </c>
      <c r="J16" s="356">
        <f>'OLAH DATA PERITEM IDM 2020'!L20</f>
        <v>5</v>
      </c>
      <c r="K16" s="319">
        <f t="shared" si="0"/>
        <v>1</v>
      </c>
      <c r="L16" s="321">
        <f>'OLAH DATA PERITEM IDM 2020'!M20</f>
        <v>1</v>
      </c>
      <c r="M16" s="237" t="s">
        <v>1251</v>
      </c>
    </row>
    <row r="17" spans="1:13" ht="19.5" thickBot="1" x14ac:dyDescent="0.35">
      <c r="A17" s="250"/>
      <c r="B17" s="243"/>
      <c r="C17" s="520"/>
      <c r="D17" s="311"/>
      <c r="E17" s="360"/>
      <c r="F17" s="514"/>
      <c r="G17" s="245"/>
      <c r="H17" s="245"/>
      <c r="I17" s="280" t="s">
        <v>715</v>
      </c>
      <c r="J17" s="356">
        <f>'OLAH DATA PERITEM IDM 2020'!L21</f>
        <v>5</v>
      </c>
      <c r="K17" s="317">
        <f t="shared" si="0"/>
        <v>1</v>
      </c>
      <c r="L17" s="322">
        <f>'OLAH DATA PERITEM IDM 2020'!M21</f>
        <v>1</v>
      </c>
      <c r="M17" s="242" t="s">
        <v>1251</v>
      </c>
    </row>
    <row r="18" spans="1:13" ht="19.5" thickBot="1" x14ac:dyDescent="0.35">
      <c r="A18" s="250"/>
      <c r="B18" s="243"/>
      <c r="C18" s="520"/>
      <c r="D18" s="311"/>
      <c r="E18" s="360"/>
      <c r="F18" s="514"/>
      <c r="G18" s="245"/>
      <c r="H18" s="245"/>
      <c r="I18" s="280" t="s">
        <v>716</v>
      </c>
      <c r="J18" s="356">
        <f>'OLAH DATA PERITEM IDM 2020'!L22</f>
        <v>1</v>
      </c>
      <c r="K18" s="317">
        <f t="shared" si="0"/>
        <v>0.2</v>
      </c>
      <c r="L18" s="322">
        <f>'OLAH DATA PERITEM IDM 2020'!M22</f>
        <v>0.2</v>
      </c>
      <c r="M18" s="242" t="s">
        <v>1252</v>
      </c>
    </row>
    <row r="19" spans="1:13" ht="19.5" thickBot="1" x14ac:dyDescent="0.35">
      <c r="A19" s="250"/>
      <c r="B19" s="243"/>
      <c r="C19" s="520"/>
      <c r="D19" s="311"/>
      <c r="E19" s="360"/>
      <c r="F19" s="514" t="s">
        <v>717</v>
      </c>
      <c r="G19" s="241">
        <f>SUM(J19:J21)</f>
        <v>7</v>
      </c>
      <c r="H19" s="241">
        <f>G19/15</f>
        <v>0.46666666666666667</v>
      </c>
      <c r="I19" s="280" t="s">
        <v>718</v>
      </c>
      <c r="J19" s="356">
        <f>'OLAH DATA PERITEM IDM 2020'!L23</f>
        <v>5</v>
      </c>
      <c r="K19" s="317">
        <f t="shared" si="0"/>
        <v>1</v>
      </c>
      <c r="L19" s="322">
        <f>'OLAH DATA PERITEM IDM 2020'!M23</f>
        <v>1</v>
      </c>
      <c r="M19" s="242" t="s">
        <v>1253</v>
      </c>
    </row>
    <row r="20" spans="1:13" ht="19.5" thickBot="1" x14ac:dyDescent="0.35">
      <c r="A20" s="250"/>
      <c r="B20" s="243"/>
      <c r="C20" s="520"/>
      <c r="D20" s="311"/>
      <c r="E20" s="360"/>
      <c r="F20" s="514"/>
      <c r="G20" s="241"/>
      <c r="H20" s="241"/>
      <c r="I20" s="280" t="s">
        <v>719</v>
      </c>
      <c r="J20" s="356">
        <f>'OLAH DATA PERITEM IDM 2020'!L24</f>
        <v>1</v>
      </c>
      <c r="K20" s="317">
        <f t="shared" si="0"/>
        <v>0.2</v>
      </c>
      <c r="L20" s="322">
        <f>'OLAH DATA PERITEM IDM 2020'!M24</f>
        <v>0.2</v>
      </c>
      <c r="M20" s="242" t="s">
        <v>1253</v>
      </c>
    </row>
    <row r="21" spans="1:13" ht="19.5" thickBot="1" x14ac:dyDescent="0.35">
      <c r="A21" s="250"/>
      <c r="B21" s="243"/>
      <c r="C21" s="520"/>
      <c r="D21" s="311"/>
      <c r="E21" s="360"/>
      <c r="F21" s="514"/>
      <c r="G21" s="241"/>
      <c r="H21" s="241"/>
      <c r="I21" s="280" t="s">
        <v>720</v>
      </c>
      <c r="J21" s="356">
        <f>'OLAH DATA PERITEM IDM 2020'!L25</f>
        <v>1</v>
      </c>
      <c r="K21" s="317">
        <f t="shared" si="0"/>
        <v>0.2</v>
      </c>
      <c r="L21" s="322">
        <f>'OLAH DATA PERITEM IDM 2020'!M25</f>
        <v>0.2</v>
      </c>
      <c r="M21" s="242" t="s">
        <v>1254</v>
      </c>
    </row>
    <row r="22" spans="1:13" ht="19.5" thickBot="1" x14ac:dyDescent="0.35">
      <c r="A22" s="251"/>
      <c r="B22" s="248"/>
      <c r="C22" s="521"/>
      <c r="D22" s="312"/>
      <c r="E22" s="361"/>
      <c r="F22" s="252" t="s">
        <v>721</v>
      </c>
      <c r="G22" s="253">
        <f>J22</f>
        <v>1</v>
      </c>
      <c r="H22" s="253">
        <f>G22/5</f>
        <v>0.2</v>
      </c>
      <c r="I22" s="281" t="s">
        <v>722</v>
      </c>
      <c r="J22" s="356">
        <f>'OLAH DATA PERITEM IDM 2020'!L26</f>
        <v>1</v>
      </c>
      <c r="K22" s="318">
        <f t="shared" si="0"/>
        <v>0.2</v>
      </c>
      <c r="L22" s="323">
        <f>'OLAH DATA PERITEM IDM 2020'!M26</f>
        <v>0.2</v>
      </c>
      <c r="M22" s="247" t="s">
        <v>1255</v>
      </c>
    </row>
    <row r="23" spans="1:13" ht="19.5" thickBot="1" x14ac:dyDescent="0.35">
      <c r="A23" s="254"/>
      <c r="B23" s="238"/>
      <c r="C23" s="519" t="s">
        <v>723</v>
      </c>
      <c r="D23" s="310">
        <f>SUM(G23:G33)</f>
        <v>57</v>
      </c>
      <c r="E23" s="359">
        <f>D23/65</f>
        <v>0.87692307692307692</v>
      </c>
      <c r="F23" s="513" t="s">
        <v>724</v>
      </c>
      <c r="G23" s="249">
        <f>SUM(J23:J26)</f>
        <v>17</v>
      </c>
      <c r="H23" s="249">
        <f>G23/25</f>
        <v>0.68</v>
      </c>
      <c r="I23" s="279" t="s">
        <v>725</v>
      </c>
      <c r="J23" s="356">
        <f>'OLAH DATA PERITEM IDM 2020'!L27</f>
        <v>10</v>
      </c>
      <c r="K23" s="316">
        <f t="shared" si="0"/>
        <v>1</v>
      </c>
      <c r="L23" s="321">
        <f>'OLAH DATA PERITEM IDM 2020'!M27</f>
        <v>1</v>
      </c>
      <c r="M23" s="237" t="s">
        <v>274</v>
      </c>
    </row>
    <row r="24" spans="1:13" ht="19.5" thickBot="1" x14ac:dyDescent="0.35">
      <c r="A24" s="250"/>
      <c r="B24" s="243"/>
      <c r="C24" s="520"/>
      <c r="D24" s="311"/>
      <c r="E24" s="360"/>
      <c r="F24" s="514"/>
      <c r="G24" s="245"/>
      <c r="H24" s="245"/>
      <c r="I24" s="280" t="s">
        <v>726</v>
      </c>
      <c r="J24" s="356">
        <f>'OLAH DATA PERITEM IDM 2020'!L28</f>
        <v>1</v>
      </c>
      <c r="K24" s="317">
        <f t="shared" si="0"/>
        <v>0.2</v>
      </c>
      <c r="L24" s="322">
        <f>'OLAH DATA PERITEM IDM 2020'!M28</f>
        <v>0.2</v>
      </c>
      <c r="M24" s="242" t="s">
        <v>1256</v>
      </c>
    </row>
    <row r="25" spans="1:13" ht="19.5" thickBot="1" x14ac:dyDescent="0.35">
      <c r="A25" s="250"/>
      <c r="B25" s="243"/>
      <c r="C25" s="520"/>
      <c r="D25" s="311"/>
      <c r="E25" s="360"/>
      <c r="F25" s="514"/>
      <c r="G25" s="245"/>
      <c r="H25" s="245"/>
      <c r="I25" s="280" t="s">
        <v>1171</v>
      </c>
      <c r="J25" s="356">
        <f>'OLAH DATA PERITEM IDM 2020'!L29</f>
        <v>5</v>
      </c>
      <c r="K25" s="317">
        <f t="shared" si="0"/>
        <v>1</v>
      </c>
      <c r="L25" s="322">
        <f>'OLAH DATA PERITEM IDM 2020'!M29</f>
        <v>1</v>
      </c>
      <c r="M25" s="242" t="s">
        <v>1257</v>
      </c>
    </row>
    <row r="26" spans="1:13" ht="19.5" thickBot="1" x14ac:dyDescent="0.35">
      <c r="A26" s="250"/>
      <c r="B26" s="243"/>
      <c r="C26" s="520"/>
      <c r="D26" s="311"/>
      <c r="E26" s="360"/>
      <c r="F26" s="514"/>
      <c r="G26" s="245"/>
      <c r="H26" s="245"/>
      <c r="I26" s="280" t="s">
        <v>728</v>
      </c>
      <c r="J26" s="356">
        <f>'OLAH DATA PERITEM IDM 2020'!L30</f>
        <v>1</v>
      </c>
      <c r="K26" s="317">
        <f t="shared" si="0"/>
        <v>0.2</v>
      </c>
      <c r="L26" s="322">
        <f>'OLAH DATA PERITEM IDM 2020'!M30</f>
        <v>0.2</v>
      </c>
      <c r="M26" s="242" t="s">
        <v>274</v>
      </c>
    </row>
    <row r="27" spans="1:13" ht="19.5" thickBot="1" x14ac:dyDescent="0.35">
      <c r="A27" s="250"/>
      <c r="B27" s="243"/>
      <c r="C27" s="520"/>
      <c r="D27" s="311"/>
      <c r="E27" s="360"/>
      <c r="F27" s="514" t="s">
        <v>729</v>
      </c>
      <c r="G27" s="241">
        <f>SUM(J27:J29)</f>
        <v>15</v>
      </c>
      <c r="H27" s="241">
        <f>G27/15</f>
        <v>1</v>
      </c>
      <c r="I27" s="280" t="s">
        <v>730</v>
      </c>
      <c r="J27" s="356">
        <f>'OLAH DATA PERITEM IDM 2020'!L31</f>
        <v>5</v>
      </c>
      <c r="K27" s="317">
        <f t="shared" si="0"/>
        <v>1</v>
      </c>
      <c r="L27" s="322">
        <f>'OLAH DATA PERITEM IDM 2020'!M31</f>
        <v>1</v>
      </c>
      <c r="M27" s="242" t="s">
        <v>274</v>
      </c>
    </row>
    <row r="28" spans="1:13" ht="19.5" thickBot="1" x14ac:dyDescent="0.35">
      <c r="A28" s="250"/>
      <c r="B28" s="243"/>
      <c r="C28" s="520"/>
      <c r="D28" s="311"/>
      <c r="E28" s="360"/>
      <c r="F28" s="514"/>
      <c r="G28" s="241"/>
      <c r="H28" s="241"/>
      <c r="I28" s="280" t="s">
        <v>731</v>
      </c>
      <c r="J28" s="356">
        <f>'OLAH DATA PERITEM IDM 2020'!L32</f>
        <v>5</v>
      </c>
      <c r="K28" s="317">
        <f t="shared" si="0"/>
        <v>1</v>
      </c>
      <c r="L28" s="322">
        <f>'OLAH DATA PERITEM IDM 2020'!M32</f>
        <v>1</v>
      </c>
      <c r="M28" s="242" t="s">
        <v>274</v>
      </c>
    </row>
    <row r="29" spans="1:13" ht="19.5" thickBot="1" x14ac:dyDescent="0.35">
      <c r="A29" s="250"/>
      <c r="B29" s="243"/>
      <c r="C29" s="520"/>
      <c r="D29" s="311"/>
      <c r="E29" s="360"/>
      <c r="F29" s="514"/>
      <c r="G29" s="241"/>
      <c r="H29" s="241"/>
      <c r="I29" s="280" t="s">
        <v>732</v>
      </c>
      <c r="J29" s="356">
        <f>'OLAH DATA PERITEM IDM 2020'!L33</f>
        <v>5</v>
      </c>
      <c r="K29" s="317">
        <f t="shared" si="0"/>
        <v>1</v>
      </c>
      <c r="L29" s="322">
        <f>'OLAH DATA PERITEM IDM 2020'!M33</f>
        <v>1</v>
      </c>
      <c r="M29" s="242" t="s">
        <v>1258</v>
      </c>
    </row>
    <row r="30" spans="1:13" ht="19.5" thickBot="1" x14ac:dyDescent="0.35">
      <c r="A30" s="250"/>
      <c r="B30" s="243"/>
      <c r="C30" s="520"/>
      <c r="D30" s="311"/>
      <c r="E30" s="360"/>
      <c r="F30" s="514" t="s">
        <v>733</v>
      </c>
      <c r="G30" s="245">
        <f>SUM(J30:J32)</f>
        <v>15</v>
      </c>
      <c r="H30" s="245">
        <f>G30/15</f>
        <v>1</v>
      </c>
      <c r="I30" s="280" t="s">
        <v>734</v>
      </c>
      <c r="J30" s="356">
        <f>'OLAH DATA PERITEM IDM 2020'!L34</f>
        <v>5</v>
      </c>
      <c r="K30" s="317">
        <f t="shared" si="0"/>
        <v>1</v>
      </c>
      <c r="L30" s="322">
        <f>'OLAH DATA PERITEM IDM 2020'!M34</f>
        <v>1</v>
      </c>
      <c r="M30" s="242" t="s">
        <v>1259</v>
      </c>
    </row>
    <row r="31" spans="1:13" ht="19.5" thickBot="1" x14ac:dyDescent="0.35">
      <c r="A31" s="250"/>
      <c r="B31" s="243"/>
      <c r="C31" s="520"/>
      <c r="D31" s="311"/>
      <c r="E31" s="360"/>
      <c r="F31" s="514"/>
      <c r="G31" s="245"/>
      <c r="H31" s="245"/>
      <c r="I31" s="280" t="s">
        <v>735</v>
      </c>
      <c r="J31" s="356">
        <f>'OLAH DATA PERITEM IDM 2020'!L35</f>
        <v>5</v>
      </c>
      <c r="K31" s="317">
        <f t="shared" si="0"/>
        <v>1</v>
      </c>
      <c r="L31" s="322">
        <f>'OLAH DATA PERITEM IDM 2020'!M35</f>
        <v>1</v>
      </c>
      <c r="M31" s="242" t="s">
        <v>274</v>
      </c>
    </row>
    <row r="32" spans="1:13" ht="19.5" thickBot="1" x14ac:dyDescent="0.35">
      <c r="A32" s="250"/>
      <c r="B32" s="243"/>
      <c r="C32" s="520"/>
      <c r="D32" s="311"/>
      <c r="E32" s="360"/>
      <c r="F32" s="514"/>
      <c r="G32" s="245"/>
      <c r="H32" s="245"/>
      <c r="I32" s="280" t="s">
        <v>736</v>
      </c>
      <c r="J32" s="356">
        <f>'OLAH DATA PERITEM IDM 2020'!L36</f>
        <v>5</v>
      </c>
      <c r="K32" s="317">
        <f t="shared" si="0"/>
        <v>1</v>
      </c>
      <c r="L32" s="322">
        <f>'OLAH DATA PERITEM IDM 2020'!M36</f>
        <v>1</v>
      </c>
      <c r="M32" s="242" t="s">
        <v>1260</v>
      </c>
    </row>
    <row r="33" spans="1:13" ht="19.5" thickBot="1" x14ac:dyDescent="0.35">
      <c r="A33" s="250"/>
      <c r="B33" s="243"/>
      <c r="C33" s="520"/>
      <c r="D33" s="311"/>
      <c r="E33" s="360"/>
      <c r="F33" s="514" t="s">
        <v>643</v>
      </c>
      <c r="G33" s="245">
        <f>SUM(J33:J34)</f>
        <v>10</v>
      </c>
      <c r="H33" s="245">
        <f>G33/10</f>
        <v>1</v>
      </c>
      <c r="I33" s="280" t="s">
        <v>737</v>
      </c>
      <c r="J33" s="356">
        <f>'OLAH DATA PERITEM IDM 2020'!L37</f>
        <v>5</v>
      </c>
      <c r="K33" s="317">
        <f t="shared" si="0"/>
        <v>1</v>
      </c>
      <c r="L33" s="322">
        <f>'OLAH DATA PERITEM IDM 2020'!M37</f>
        <v>1</v>
      </c>
      <c r="M33" s="242" t="s">
        <v>1251</v>
      </c>
    </row>
    <row r="34" spans="1:13" ht="30.75" thickBot="1" x14ac:dyDescent="0.35">
      <c r="A34" s="251"/>
      <c r="B34" s="248"/>
      <c r="C34" s="521"/>
      <c r="D34" s="312"/>
      <c r="E34" s="361"/>
      <c r="F34" s="517"/>
      <c r="G34" s="253"/>
      <c r="H34" s="253"/>
      <c r="I34" s="281" t="s">
        <v>738</v>
      </c>
      <c r="J34" s="356">
        <f>'OLAH DATA PERITEM IDM 2020'!L38</f>
        <v>5</v>
      </c>
      <c r="K34" s="318">
        <f t="shared" si="0"/>
        <v>1</v>
      </c>
      <c r="L34" s="323">
        <f>'OLAH DATA PERITEM IDM 2020'!M38</f>
        <v>1</v>
      </c>
      <c r="M34" s="247" t="s">
        <v>1261</v>
      </c>
    </row>
    <row r="35" spans="1:13" ht="19.5" thickBot="1" x14ac:dyDescent="0.35">
      <c r="A35" s="254"/>
      <c r="B35" s="238"/>
      <c r="C35" s="519" t="s">
        <v>645</v>
      </c>
      <c r="D35" s="310">
        <f>SUM(G35:G42)</f>
        <v>35</v>
      </c>
      <c r="E35" s="359">
        <f>D35/40</f>
        <v>0.875</v>
      </c>
      <c r="F35" s="513" t="s">
        <v>739</v>
      </c>
      <c r="G35" s="249">
        <f>SUM(J35:J36)</f>
        <v>8</v>
      </c>
      <c r="H35" s="249">
        <f>G35/10</f>
        <v>0.8</v>
      </c>
      <c r="I35" s="279" t="s">
        <v>1699</v>
      </c>
      <c r="J35" s="356">
        <f>'OLAH DATA PERITEM IDM 2020'!L39</f>
        <v>4</v>
      </c>
      <c r="K35" s="316">
        <f t="shared" si="0"/>
        <v>0.8</v>
      </c>
      <c r="L35" s="321">
        <f>'OLAH DATA PERITEM IDM 2020'!M39</f>
        <v>0.8</v>
      </c>
      <c r="M35" s="237" t="s">
        <v>1262</v>
      </c>
    </row>
    <row r="36" spans="1:13" ht="19.5" thickBot="1" x14ac:dyDescent="0.35">
      <c r="A36" s="250"/>
      <c r="B36" s="243"/>
      <c r="C36" s="520"/>
      <c r="D36" s="311"/>
      <c r="E36" s="360"/>
      <c r="F36" s="514"/>
      <c r="G36" s="245"/>
      <c r="H36" s="245"/>
      <c r="I36" s="280" t="s">
        <v>741</v>
      </c>
      <c r="J36" s="356">
        <f>'OLAH DATA PERITEM IDM 2020'!L40</f>
        <v>4</v>
      </c>
      <c r="K36" s="317">
        <f t="shared" si="0"/>
        <v>0.8</v>
      </c>
      <c r="L36" s="322">
        <f>'OLAH DATA PERITEM IDM 2020'!M40</f>
        <v>0.8</v>
      </c>
      <c r="M36" s="242" t="s">
        <v>1262</v>
      </c>
    </row>
    <row r="37" spans="1:13" ht="19.5" thickBot="1" x14ac:dyDescent="0.35">
      <c r="A37" s="250"/>
      <c r="B37" s="243"/>
      <c r="C37" s="520"/>
      <c r="D37" s="311"/>
      <c r="E37" s="360"/>
      <c r="F37" s="514" t="s">
        <v>742</v>
      </c>
      <c r="G37" s="241">
        <f>SUM(J37:J38)</f>
        <v>9</v>
      </c>
      <c r="H37" s="241">
        <f>G37/10</f>
        <v>0.9</v>
      </c>
      <c r="I37" s="280" t="s">
        <v>743</v>
      </c>
      <c r="J37" s="356">
        <f>'OLAH DATA PERITEM IDM 2020'!L41</f>
        <v>5</v>
      </c>
      <c r="K37" s="317">
        <f t="shared" si="0"/>
        <v>1</v>
      </c>
      <c r="L37" s="322">
        <f>'OLAH DATA PERITEM IDM 2020'!M41</f>
        <v>1</v>
      </c>
      <c r="M37" s="242" t="s">
        <v>1262</v>
      </c>
    </row>
    <row r="38" spans="1:13" ht="19.5" thickBot="1" x14ac:dyDescent="0.35">
      <c r="A38" s="250"/>
      <c r="B38" s="243"/>
      <c r="C38" s="520"/>
      <c r="D38" s="311"/>
      <c r="E38" s="360"/>
      <c r="F38" s="514"/>
      <c r="G38" s="241"/>
      <c r="H38" s="241"/>
      <c r="I38" s="280" t="s">
        <v>744</v>
      </c>
      <c r="J38" s="356">
        <f>'OLAH DATA PERITEM IDM 2020'!L42</f>
        <v>4</v>
      </c>
      <c r="K38" s="317">
        <f t="shared" si="0"/>
        <v>0.8</v>
      </c>
      <c r="L38" s="322">
        <f>'OLAH DATA PERITEM IDM 2020'!M42</f>
        <v>0.8</v>
      </c>
      <c r="M38" s="242" t="s">
        <v>1262</v>
      </c>
    </row>
    <row r="39" spans="1:13" ht="19.5" thickBot="1" x14ac:dyDescent="0.35">
      <c r="A39" s="250"/>
      <c r="B39" s="243"/>
      <c r="C39" s="520"/>
      <c r="D39" s="311"/>
      <c r="E39" s="360"/>
      <c r="F39" s="309" t="s">
        <v>745</v>
      </c>
      <c r="G39" s="241">
        <f>J39</f>
        <v>5</v>
      </c>
      <c r="H39" s="241">
        <f>G39/5</f>
        <v>1</v>
      </c>
      <c r="I39" s="280" t="s">
        <v>746</v>
      </c>
      <c r="J39" s="356">
        <f>'OLAH DATA PERITEM IDM 2020'!L43</f>
        <v>5</v>
      </c>
      <c r="K39" s="317">
        <f t="shared" si="0"/>
        <v>1</v>
      </c>
      <c r="L39" s="322">
        <f>'OLAH DATA PERITEM IDM 2020'!M43</f>
        <v>1</v>
      </c>
      <c r="M39" s="242" t="s">
        <v>1263</v>
      </c>
    </row>
    <row r="40" spans="1:13" ht="19.5" thickBot="1" x14ac:dyDescent="0.35">
      <c r="A40" s="250"/>
      <c r="B40" s="243"/>
      <c r="C40" s="520"/>
      <c r="D40" s="311"/>
      <c r="E40" s="360"/>
      <c r="F40" s="514" t="s">
        <v>747</v>
      </c>
      <c r="G40" s="245">
        <f>SUM(J40:J42)</f>
        <v>13</v>
      </c>
      <c r="H40" s="245">
        <f>G40/15</f>
        <v>0.8666666666666667</v>
      </c>
      <c r="I40" s="280" t="s">
        <v>748</v>
      </c>
      <c r="J40" s="356">
        <f>'OLAH DATA PERITEM IDM 2020'!L44</f>
        <v>3</v>
      </c>
      <c r="K40" s="317">
        <f t="shared" si="0"/>
        <v>0.6</v>
      </c>
      <c r="L40" s="322">
        <f>'OLAH DATA PERITEM IDM 2020'!M44</f>
        <v>0.6</v>
      </c>
      <c r="M40" s="242" t="s">
        <v>1256</v>
      </c>
    </row>
    <row r="41" spans="1:13" ht="19.5" thickBot="1" x14ac:dyDescent="0.35">
      <c r="A41" s="250"/>
      <c r="B41" s="243"/>
      <c r="C41" s="520"/>
      <c r="D41" s="311"/>
      <c r="E41" s="360"/>
      <c r="F41" s="514"/>
      <c r="G41" s="245"/>
      <c r="H41" s="245"/>
      <c r="I41" s="280" t="s">
        <v>749</v>
      </c>
      <c r="J41" s="356">
        <f>'OLAH DATA PERITEM IDM 2020'!L45</f>
        <v>5</v>
      </c>
      <c r="K41" s="317">
        <f t="shared" si="0"/>
        <v>1</v>
      </c>
      <c r="L41" s="322">
        <f>'OLAH DATA PERITEM IDM 2020'!M45</f>
        <v>1</v>
      </c>
      <c r="M41" s="242" t="s">
        <v>1256</v>
      </c>
    </row>
    <row r="42" spans="1:13" ht="19.5" thickBot="1" x14ac:dyDescent="0.35">
      <c r="A42" s="251"/>
      <c r="B42" s="248"/>
      <c r="C42" s="521"/>
      <c r="D42" s="312"/>
      <c r="E42" s="361"/>
      <c r="F42" s="517"/>
      <c r="G42" s="253"/>
      <c r="H42" s="253"/>
      <c r="I42" s="281" t="s">
        <v>750</v>
      </c>
      <c r="J42" s="356">
        <f>'OLAH DATA PERITEM IDM 2020'!L46</f>
        <v>5</v>
      </c>
      <c r="K42" s="318">
        <f t="shared" si="0"/>
        <v>1</v>
      </c>
      <c r="L42" s="323">
        <f>'OLAH DATA PERITEM IDM 2020'!M46</f>
        <v>1</v>
      </c>
      <c r="M42" s="247" t="s">
        <v>1256</v>
      </c>
    </row>
    <row r="43" spans="1:13" ht="30.75" thickBot="1" x14ac:dyDescent="0.3">
      <c r="A43" s="508" t="s">
        <v>751</v>
      </c>
      <c r="B43" s="508"/>
      <c r="C43" s="255" t="s">
        <v>752</v>
      </c>
      <c r="D43" s="255">
        <f>G43</f>
        <v>5</v>
      </c>
      <c r="E43" s="362">
        <f>H43</f>
        <v>1</v>
      </c>
      <c r="F43" s="256" t="s">
        <v>657</v>
      </c>
      <c r="G43" s="257">
        <f>J43</f>
        <v>5</v>
      </c>
      <c r="H43" s="257">
        <f>G43/5</f>
        <v>1</v>
      </c>
      <c r="I43" s="282" t="s">
        <v>753</v>
      </c>
      <c r="J43" s="356">
        <f>'OLAH DATA PERITEM IDM 2020'!L47</f>
        <v>5</v>
      </c>
      <c r="K43" s="320">
        <f t="shared" si="0"/>
        <v>1</v>
      </c>
      <c r="L43" s="321">
        <f>'OLAH DATA PERITEM IDM 2020'!M47</f>
        <v>1</v>
      </c>
      <c r="M43" s="258" t="s">
        <v>1264</v>
      </c>
    </row>
    <row r="44" spans="1:13" ht="30.75" thickBot="1" x14ac:dyDescent="0.3">
      <c r="A44" s="259" t="s">
        <v>752</v>
      </c>
      <c r="B44" s="260">
        <f>E43</f>
        <v>1</v>
      </c>
      <c r="C44" s="519" t="s">
        <v>754</v>
      </c>
      <c r="D44" s="310">
        <f>G44</f>
        <v>8</v>
      </c>
      <c r="E44" s="363">
        <f>H44</f>
        <v>0.53333333333333333</v>
      </c>
      <c r="F44" s="513" t="s">
        <v>755</v>
      </c>
      <c r="G44" s="249">
        <f>SUM(J44:J46)</f>
        <v>8</v>
      </c>
      <c r="H44" s="249">
        <f>G44/15</f>
        <v>0.53333333333333333</v>
      </c>
      <c r="I44" s="279" t="s">
        <v>756</v>
      </c>
      <c r="J44" s="356">
        <f>'OLAH DATA PERITEM IDM 2020'!L48</f>
        <v>2</v>
      </c>
      <c r="K44" s="316">
        <f t="shared" si="0"/>
        <v>0.4</v>
      </c>
      <c r="L44" s="321">
        <f>'OLAH DATA PERITEM IDM 2020'!M48</f>
        <v>0.4</v>
      </c>
      <c r="M44" s="237" t="s">
        <v>1265</v>
      </c>
    </row>
    <row r="45" spans="1:13" ht="16.5" thickBot="1" x14ac:dyDescent="0.3">
      <c r="A45" s="235" t="s">
        <v>754</v>
      </c>
      <c r="B45" s="261">
        <f>E44</f>
        <v>0.53333333333333333</v>
      </c>
      <c r="C45" s="520"/>
      <c r="D45" s="311"/>
      <c r="E45" s="360"/>
      <c r="F45" s="514"/>
      <c r="G45" s="245"/>
      <c r="H45" s="245"/>
      <c r="I45" s="280" t="s">
        <v>796</v>
      </c>
      <c r="J45" s="356">
        <f>'OLAH DATA PERITEM IDM 2020'!L49</f>
        <v>1</v>
      </c>
      <c r="K45" s="317">
        <f t="shared" si="0"/>
        <v>0.2</v>
      </c>
      <c r="L45" s="322">
        <f>'OLAH DATA PERITEM IDM 2020'!M49</f>
        <v>0.2</v>
      </c>
      <c r="M45" s="242" t="s">
        <v>1266</v>
      </c>
    </row>
    <row r="46" spans="1:13" ht="16.5" thickBot="1" x14ac:dyDescent="0.3">
      <c r="A46" s="262" t="s">
        <v>759</v>
      </c>
      <c r="B46" s="263">
        <f>E47</f>
        <v>0</v>
      </c>
      <c r="C46" s="521"/>
      <c r="D46" s="312"/>
      <c r="E46" s="361"/>
      <c r="F46" s="517"/>
      <c r="G46" s="253"/>
      <c r="H46" s="253"/>
      <c r="I46" s="281" t="s">
        <v>758</v>
      </c>
      <c r="J46" s="356">
        <f>'OLAH DATA PERITEM IDM 2020'!L50</f>
        <v>5</v>
      </c>
      <c r="K46" s="318">
        <f t="shared" si="0"/>
        <v>1</v>
      </c>
      <c r="L46" s="323">
        <f>'OLAH DATA PERITEM IDM 2020'!M50</f>
        <v>1</v>
      </c>
      <c r="M46" s="247" t="s">
        <v>1267</v>
      </c>
    </row>
    <row r="47" spans="1:13" ht="16.5" thickBot="1" x14ac:dyDescent="0.3">
      <c r="A47" s="255" t="s">
        <v>762</v>
      </c>
      <c r="B47" s="264">
        <f>E48</f>
        <v>0.2</v>
      </c>
      <c r="C47" s="255" t="s">
        <v>759</v>
      </c>
      <c r="D47" s="255">
        <f>G47</f>
        <v>0</v>
      </c>
      <c r="E47" s="362">
        <f>H47</f>
        <v>0</v>
      </c>
      <c r="F47" s="256" t="s">
        <v>760</v>
      </c>
      <c r="G47" s="265">
        <f>J47</f>
        <v>0</v>
      </c>
      <c r="H47" s="265">
        <f>G47/5</f>
        <v>0</v>
      </c>
      <c r="I47" s="282" t="s">
        <v>761</v>
      </c>
      <c r="J47" s="356">
        <f>'OLAH DATA PERITEM IDM 2020'!L51</f>
        <v>0</v>
      </c>
      <c r="K47" s="320">
        <f t="shared" si="0"/>
        <v>0</v>
      </c>
      <c r="L47" s="321">
        <f>'OLAH DATA PERITEM IDM 2020'!M51</f>
        <v>0</v>
      </c>
      <c r="M47" s="258" t="s">
        <v>1268</v>
      </c>
    </row>
    <row r="48" spans="1:13" ht="16.5" thickBot="1" x14ac:dyDescent="0.3">
      <c r="A48" s="259" t="s">
        <v>766</v>
      </c>
      <c r="B48" s="260">
        <f>E50</f>
        <v>0.8</v>
      </c>
      <c r="C48" s="522" t="s">
        <v>762</v>
      </c>
      <c r="D48" s="314">
        <f>G48</f>
        <v>2</v>
      </c>
      <c r="E48" s="363">
        <f>H48</f>
        <v>0.2</v>
      </c>
      <c r="F48" s="513" t="s">
        <v>763</v>
      </c>
      <c r="G48" s="249">
        <f>SUM(J48:J49)</f>
        <v>2</v>
      </c>
      <c r="H48" s="249">
        <f>G48/10</f>
        <v>0.2</v>
      </c>
      <c r="I48" s="279" t="s">
        <v>764</v>
      </c>
      <c r="J48" s="356">
        <f>'OLAH DATA PERITEM IDM 2020'!L52</f>
        <v>0</v>
      </c>
      <c r="K48" s="316">
        <f t="shared" si="0"/>
        <v>0</v>
      </c>
      <c r="L48" s="321">
        <f>'OLAH DATA PERITEM IDM 2020'!M52</f>
        <v>0</v>
      </c>
      <c r="M48" s="237" t="s">
        <v>1269</v>
      </c>
    </row>
    <row r="49" spans="1:13" ht="16.5" thickBot="1" x14ac:dyDescent="0.3">
      <c r="A49" s="266" t="s">
        <v>770</v>
      </c>
      <c r="B49" s="267">
        <f>E52</f>
        <v>0.8</v>
      </c>
      <c r="C49" s="523"/>
      <c r="D49" s="315"/>
      <c r="E49" s="364"/>
      <c r="F49" s="517"/>
      <c r="G49" s="253"/>
      <c r="H49" s="253"/>
      <c r="I49" s="281" t="s">
        <v>765</v>
      </c>
      <c r="J49" s="356">
        <f>'OLAH DATA PERITEM IDM 2020'!L53</f>
        <v>2</v>
      </c>
      <c r="K49" s="318">
        <f t="shared" si="0"/>
        <v>0.4</v>
      </c>
      <c r="L49" s="323">
        <f>'OLAH DATA PERITEM IDM 2020'!M53</f>
        <v>0.4</v>
      </c>
      <c r="M49" s="247" t="s">
        <v>1270</v>
      </c>
    </row>
    <row r="50" spans="1:13" ht="19.5" thickBot="1" x14ac:dyDescent="0.3">
      <c r="A50" s="259" t="s">
        <v>252</v>
      </c>
      <c r="B50" s="366">
        <f>SUM(D43:D54)/60</f>
        <v>0.58333333333333337</v>
      </c>
      <c r="C50" s="522" t="s">
        <v>766</v>
      </c>
      <c r="D50" s="314">
        <f>G50</f>
        <v>8</v>
      </c>
      <c r="E50" s="363">
        <f>H50</f>
        <v>0.8</v>
      </c>
      <c r="F50" s="513" t="s">
        <v>767</v>
      </c>
      <c r="G50" s="249">
        <f>SUM(J50:J51)</f>
        <v>8</v>
      </c>
      <c r="H50" s="249">
        <f>G50/10</f>
        <v>0.8</v>
      </c>
      <c r="I50" s="279" t="s">
        <v>768</v>
      </c>
      <c r="J50" s="356">
        <f>'OLAH DATA PERITEM IDM 2020'!L54</f>
        <v>5</v>
      </c>
      <c r="K50" s="316">
        <f t="shared" si="0"/>
        <v>1</v>
      </c>
      <c r="L50" s="321">
        <f>'OLAH DATA PERITEM IDM 2020'!M54</f>
        <v>1</v>
      </c>
      <c r="M50" s="237" t="s">
        <v>1271</v>
      </c>
    </row>
    <row r="51" spans="1:13" ht="30.75" thickBot="1" x14ac:dyDescent="0.35">
      <c r="A51" s="251"/>
      <c r="B51" s="248"/>
      <c r="C51" s="523"/>
      <c r="D51" s="315"/>
      <c r="E51" s="364"/>
      <c r="F51" s="517"/>
      <c r="G51" s="253"/>
      <c r="H51" s="253"/>
      <c r="I51" s="281" t="s">
        <v>769</v>
      </c>
      <c r="J51" s="356">
        <f>'OLAH DATA PERITEM IDM 2020'!L55</f>
        <v>3</v>
      </c>
      <c r="K51" s="318">
        <f t="shared" si="0"/>
        <v>0.6</v>
      </c>
      <c r="L51" s="323">
        <f>'OLAH DATA PERITEM IDM 2020'!M55</f>
        <v>0.6</v>
      </c>
      <c r="M51" s="247" t="s">
        <v>1272</v>
      </c>
    </row>
    <row r="52" spans="1:13" ht="30.75" thickBot="1" x14ac:dyDescent="0.35">
      <c r="A52" s="268" t="s">
        <v>776</v>
      </c>
      <c r="B52" s="356">
        <f>H55</f>
        <v>1</v>
      </c>
      <c r="C52" s="519" t="s">
        <v>770</v>
      </c>
      <c r="D52" s="310">
        <f>G52</f>
        <v>12</v>
      </c>
      <c r="E52" s="363">
        <f>H52</f>
        <v>0.8</v>
      </c>
      <c r="F52" s="513" t="s">
        <v>662</v>
      </c>
      <c r="G52" s="249">
        <f>SUM(J52:J54)</f>
        <v>12</v>
      </c>
      <c r="H52" s="249">
        <f>G52/15</f>
        <v>0.8</v>
      </c>
      <c r="I52" s="279" t="s">
        <v>771</v>
      </c>
      <c r="J52" s="356">
        <f>'OLAH DATA PERITEM IDM 2020'!L56</f>
        <v>3</v>
      </c>
      <c r="K52" s="316">
        <f t="shared" si="0"/>
        <v>0.6</v>
      </c>
      <c r="L52" s="321">
        <f>'OLAH DATA PERITEM IDM 2020'!M56</f>
        <v>0.6</v>
      </c>
      <c r="M52" s="237" t="s">
        <v>1273</v>
      </c>
    </row>
    <row r="53" spans="1:13" ht="30.75" thickBot="1" x14ac:dyDescent="0.35">
      <c r="A53" s="269" t="s">
        <v>779</v>
      </c>
      <c r="B53" s="367">
        <f>H56</f>
        <v>1</v>
      </c>
      <c r="C53" s="520"/>
      <c r="D53" s="311"/>
      <c r="E53" s="360"/>
      <c r="F53" s="514"/>
      <c r="G53" s="245"/>
      <c r="H53" s="245"/>
      <c r="I53" s="280" t="s">
        <v>772</v>
      </c>
      <c r="J53" s="356">
        <f>'OLAH DATA PERITEM IDM 2020'!L57</f>
        <v>5</v>
      </c>
      <c r="K53" s="317">
        <f t="shared" si="0"/>
        <v>1</v>
      </c>
      <c r="L53" s="322">
        <f>'OLAH DATA PERITEM IDM 2020'!M57</f>
        <v>1</v>
      </c>
      <c r="M53" s="242" t="s">
        <v>1274</v>
      </c>
    </row>
    <row r="54" spans="1:13" ht="19.5" thickBot="1" x14ac:dyDescent="0.35">
      <c r="A54" s="270" t="s">
        <v>781</v>
      </c>
      <c r="B54" s="368">
        <f>H57</f>
        <v>0.8</v>
      </c>
      <c r="C54" s="521"/>
      <c r="D54" s="312"/>
      <c r="E54" s="361"/>
      <c r="F54" s="517"/>
      <c r="G54" s="253"/>
      <c r="H54" s="253"/>
      <c r="I54" s="281" t="s">
        <v>773</v>
      </c>
      <c r="J54" s="356">
        <f>'OLAH DATA PERITEM IDM 2020'!L58</f>
        <v>4</v>
      </c>
      <c r="K54" s="318">
        <f t="shared" si="0"/>
        <v>0.8</v>
      </c>
      <c r="L54" s="323">
        <f>'OLAH DATA PERITEM IDM 2020'!M58</f>
        <v>0.8</v>
      </c>
      <c r="M54" s="247" t="s">
        <v>1274</v>
      </c>
    </row>
    <row r="55" spans="1:13" ht="53.25" customHeight="1" thickBot="1" x14ac:dyDescent="0.3">
      <c r="A55" s="507" t="s">
        <v>1287</v>
      </c>
      <c r="B55" s="507"/>
      <c r="C55" s="255" t="s">
        <v>775</v>
      </c>
      <c r="D55" s="255">
        <f>G55</f>
        <v>5</v>
      </c>
      <c r="E55" s="362">
        <f>H55</f>
        <v>1</v>
      </c>
      <c r="F55" s="271" t="s">
        <v>776</v>
      </c>
      <c r="G55" s="257">
        <f>J55</f>
        <v>5</v>
      </c>
      <c r="H55" s="272">
        <f>G55/5</f>
        <v>1</v>
      </c>
      <c r="I55" s="282" t="s">
        <v>777</v>
      </c>
      <c r="J55" s="356">
        <f>'OLAH DATA PERITEM IDM 2020'!L59</f>
        <v>5</v>
      </c>
      <c r="K55" s="320">
        <f t="shared" si="0"/>
        <v>1</v>
      </c>
      <c r="L55" s="321">
        <f>'OLAH DATA PERITEM IDM 2020'!M59</f>
        <v>1</v>
      </c>
      <c r="M55" s="258" t="s">
        <v>1275</v>
      </c>
    </row>
    <row r="56" spans="1:13" ht="53.25" customHeight="1" thickBot="1" x14ac:dyDescent="0.35">
      <c r="A56" s="273" t="s">
        <v>257</v>
      </c>
      <c r="B56" s="366">
        <f>SUM(D55:D57)/15</f>
        <v>0.93333333333333335</v>
      </c>
      <c r="C56" s="519" t="s">
        <v>1189</v>
      </c>
      <c r="D56" s="310">
        <f>SUM(G56:G57)</f>
        <v>9</v>
      </c>
      <c r="E56" s="363">
        <f>D56/10</f>
        <v>0.9</v>
      </c>
      <c r="F56" s="274" t="s">
        <v>779</v>
      </c>
      <c r="G56" s="249">
        <f t="shared" ref="G56:G57" si="1">J56</f>
        <v>5</v>
      </c>
      <c r="H56" s="275">
        <f>G56/5</f>
        <v>1</v>
      </c>
      <c r="I56" s="279" t="s">
        <v>780</v>
      </c>
      <c r="J56" s="356">
        <f>'OLAH DATA PERITEM IDM 2020'!L60</f>
        <v>5</v>
      </c>
      <c r="K56" s="316">
        <f t="shared" si="0"/>
        <v>1</v>
      </c>
      <c r="L56" s="321">
        <f>'OLAH DATA PERITEM IDM 2020'!M60</f>
        <v>1</v>
      </c>
      <c r="M56" s="237" t="s">
        <v>1275</v>
      </c>
    </row>
    <row r="57" spans="1:13" ht="53.25" customHeight="1" thickBot="1" x14ac:dyDescent="0.35">
      <c r="A57" s="251"/>
      <c r="B57" s="248"/>
      <c r="C57" s="521"/>
      <c r="D57" s="312"/>
      <c r="E57" s="361"/>
      <c r="F57" s="313" t="s">
        <v>781</v>
      </c>
      <c r="G57" s="257">
        <f t="shared" si="1"/>
        <v>4</v>
      </c>
      <c r="H57" s="276">
        <f>G57/5</f>
        <v>0.8</v>
      </c>
      <c r="I57" s="281" t="s">
        <v>782</v>
      </c>
      <c r="J57" s="356">
        <f>'OLAH DATA PERITEM IDM 2020'!L61</f>
        <v>4</v>
      </c>
      <c r="K57" s="318">
        <f t="shared" si="0"/>
        <v>0.8</v>
      </c>
      <c r="L57" s="323">
        <f>'OLAH DATA PERITEM IDM 2020'!M61</f>
        <v>0.8</v>
      </c>
      <c r="M57" s="247" t="s">
        <v>1276</v>
      </c>
    </row>
    <row r="58" spans="1:13" ht="24" thickBot="1" x14ac:dyDescent="0.4">
      <c r="A58" s="306" t="s">
        <v>1701</v>
      </c>
      <c r="B58" s="505"/>
      <c r="C58" s="505"/>
      <c r="D58" s="505"/>
      <c r="E58" s="505"/>
      <c r="F58" s="505"/>
      <c r="G58" s="505"/>
      <c r="H58" s="505"/>
      <c r="I58" s="505"/>
      <c r="J58" s="505"/>
      <c r="K58" s="505"/>
      <c r="L58" s="505"/>
      <c r="M58" s="506"/>
    </row>
    <row r="59" spans="1:13" x14ac:dyDescent="0.25">
      <c r="A59" s="510"/>
      <c r="B59" s="511"/>
      <c r="C59" s="511"/>
      <c r="D59" s="511"/>
      <c r="E59" s="511"/>
      <c r="F59" s="511"/>
      <c r="G59" s="511"/>
      <c r="H59" s="511"/>
      <c r="I59" s="511"/>
      <c r="J59" s="511"/>
      <c r="K59" s="511"/>
      <c r="L59" s="511"/>
      <c r="M59" s="512"/>
    </row>
    <row r="60" spans="1:13" x14ac:dyDescent="0.25">
      <c r="A60" s="510"/>
      <c r="B60" s="511"/>
      <c r="C60" s="511"/>
      <c r="D60" s="511"/>
      <c r="E60" s="511"/>
      <c r="F60" s="511"/>
      <c r="G60" s="511"/>
      <c r="H60" s="511"/>
      <c r="I60" s="511"/>
      <c r="J60" s="511"/>
      <c r="K60" s="511"/>
      <c r="L60" s="511"/>
      <c r="M60" s="512"/>
    </row>
    <row r="61" spans="1:13" x14ac:dyDescent="0.25">
      <c r="A61" s="510"/>
      <c r="B61" s="511"/>
      <c r="C61" s="511"/>
      <c r="D61" s="511"/>
      <c r="E61" s="511"/>
      <c r="F61" s="511"/>
      <c r="G61" s="511"/>
      <c r="H61" s="511"/>
      <c r="I61" s="511"/>
      <c r="J61" s="511"/>
      <c r="K61" s="511"/>
      <c r="L61" s="511"/>
      <c r="M61" s="512"/>
    </row>
    <row r="62" spans="1:13" x14ac:dyDescent="0.25">
      <c r="A62" s="510"/>
      <c r="B62" s="511"/>
      <c r="C62" s="511"/>
      <c r="D62" s="511"/>
      <c r="E62" s="511"/>
      <c r="F62" s="511"/>
      <c r="G62" s="511"/>
      <c r="H62" s="511"/>
      <c r="I62" s="511"/>
      <c r="J62" s="511"/>
      <c r="K62" s="511"/>
      <c r="L62" s="511"/>
      <c r="M62" s="512"/>
    </row>
    <row r="63" spans="1:13" x14ac:dyDescent="0.25">
      <c r="A63" s="510"/>
      <c r="B63" s="511"/>
      <c r="C63" s="511"/>
      <c r="D63" s="511"/>
      <c r="E63" s="511"/>
      <c r="F63" s="511"/>
      <c r="G63" s="511"/>
      <c r="H63" s="511"/>
      <c r="I63" s="511"/>
      <c r="J63" s="511"/>
      <c r="K63" s="511"/>
      <c r="L63" s="511"/>
      <c r="M63" s="512"/>
    </row>
    <row r="64" spans="1:13" x14ac:dyDescent="0.25">
      <c r="A64" s="510"/>
      <c r="B64" s="511"/>
      <c r="C64" s="511"/>
      <c r="D64" s="511"/>
      <c r="E64" s="511"/>
      <c r="F64" s="511"/>
      <c r="G64" s="511"/>
      <c r="H64" s="511"/>
      <c r="I64" s="511"/>
      <c r="J64" s="511"/>
      <c r="K64" s="511"/>
      <c r="L64" s="511"/>
      <c r="M64" s="512"/>
    </row>
    <row r="65" spans="1:13" x14ac:dyDescent="0.25">
      <c r="A65" s="510"/>
      <c r="B65" s="511"/>
      <c r="C65" s="511"/>
      <c r="D65" s="511"/>
      <c r="E65" s="511"/>
      <c r="F65" s="511"/>
      <c r="G65" s="511"/>
      <c r="H65" s="511"/>
      <c r="I65" s="511"/>
      <c r="J65" s="511"/>
      <c r="K65" s="511"/>
      <c r="L65" s="511"/>
      <c r="M65" s="512"/>
    </row>
    <row r="66" spans="1:13" ht="15.75" thickBot="1" x14ac:dyDescent="0.3">
      <c r="A66" s="502"/>
      <c r="B66" s="503"/>
      <c r="C66" s="503"/>
      <c r="D66" s="503"/>
      <c r="E66" s="503"/>
      <c r="F66" s="503"/>
      <c r="G66" s="503"/>
      <c r="H66" s="503"/>
      <c r="I66" s="503"/>
      <c r="J66" s="503"/>
      <c r="K66" s="503"/>
      <c r="L66" s="503"/>
      <c r="M66" s="504"/>
    </row>
  </sheetData>
  <mergeCells count="39">
    <mergeCell ref="F52:F54"/>
    <mergeCell ref="C56:C57"/>
    <mergeCell ref="C23:C34"/>
    <mergeCell ref="C35:C42"/>
    <mergeCell ref="C44:C46"/>
    <mergeCell ref="C48:C49"/>
    <mergeCell ref="C50:C51"/>
    <mergeCell ref="C52:C54"/>
    <mergeCell ref="A11:B11"/>
    <mergeCell ref="F40:F42"/>
    <mergeCell ref="F44:F46"/>
    <mergeCell ref="F48:F49"/>
    <mergeCell ref="F50:F51"/>
    <mergeCell ref="C11:C15"/>
    <mergeCell ref="C16:C22"/>
    <mergeCell ref="K10:L10"/>
    <mergeCell ref="F23:F26"/>
    <mergeCell ref="F27:F29"/>
    <mergeCell ref="F30:F32"/>
    <mergeCell ref="F33:F34"/>
    <mergeCell ref="F13:F14"/>
    <mergeCell ref="F16:F18"/>
    <mergeCell ref="F19:F21"/>
    <mergeCell ref="A66:M66"/>
    <mergeCell ref="B58:M58"/>
    <mergeCell ref="A55:B55"/>
    <mergeCell ref="A43:B43"/>
    <mergeCell ref="A1:M1"/>
    <mergeCell ref="A59:M59"/>
    <mergeCell ref="A60:M60"/>
    <mergeCell ref="A61:M61"/>
    <mergeCell ref="A62:M62"/>
    <mergeCell ref="A63:M63"/>
    <mergeCell ref="A65:M65"/>
    <mergeCell ref="A64:M64"/>
    <mergeCell ref="F35:F36"/>
    <mergeCell ref="F37:F38"/>
    <mergeCell ref="A10:B10"/>
    <mergeCell ref="F11:F12"/>
  </mergeCells>
  <conditionalFormatting sqref="L11:L57">
    <cfRule type="cellIs" dxfId="2" priority="5" operator="greaterThan">
      <formula>0.79</formula>
    </cfRule>
    <cfRule type="cellIs" dxfId="1" priority="6" operator="between">
      <formula>0.39</formula>
      <formula>0.79</formula>
    </cfRule>
    <cfRule type="cellIs" dxfId="0" priority="7" operator="lessThan">
      <formula>0.4</formula>
    </cfRule>
  </conditionalFormatting>
  <conditionalFormatting sqref="K11:K57">
    <cfRule type="dataBar" priority="1">
      <dataBar showValue="0">
        <cfvo type="min"/>
        <cfvo type="max"/>
        <color rgb="FF008AEF"/>
      </dataBar>
      <extLst>
        <ext xmlns:x14="http://schemas.microsoft.com/office/spreadsheetml/2009/9/main" uri="{B025F937-C7B1-47D3-B67F-A62EFF666E3E}">
          <x14:id>{D6628BF2-6462-4CE6-9D1B-1ECBCC73AFED}</x14:id>
        </ext>
      </extLst>
    </cfRule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{238BFA0B-D44A-4E52-A946-AD51D1943DA9}</x14:id>
        </ext>
      </extLst>
    </cfRule>
  </conditionalFormatting>
  <printOptions horizontalCentered="1"/>
  <pageMargins left="0" right="0" top="0.75" bottom="0.75" header="0.3" footer="0.3"/>
  <pageSetup paperSize="5" scale="43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6628BF2-6462-4CE6-9D1B-1ECBCC73AFE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14:cfRule type="dataBar" id="{238BFA0B-D44A-4E52-A946-AD51D1943DA9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K11:K57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2"/>
  <dimension ref="A1:L51"/>
  <sheetViews>
    <sheetView workbookViewId="0">
      <pane ySplit="8" topLeftCell="A9" activePane="bottomLeft" state="frozen"/>
      <selection activeCell="I34" sqref="I34"/>
      <selection pane="bottomLeft" activeCell="D6" sqref="D6:E6"/>
    </sheetView>
  </sheetViews>
  <sheetFormatPr defaultRowHeight="15" x14ac:dyDescent="0.25"/>
  <cols>
    <col min="1" max="1" width="3.42578125" style="233" customWidth="1"/>
    <col min="2" max="2" width="30.42578125" customWidth="1"/>
    <col min="3" max="3" width="4.85546875" customWidth="1"/>
    <col min="4" max="4" width="1.85546875" customWidth="1"/>
    <col min="5" max="5" width="29.5703125" customWidth="1"/>
    <col min="6" max="6" width="21.7109375" customWidth="1"/>
    <col min="7" max="7" width="18" customWidth="1"/>
    <col min="8" max="8" width="17.42578125" customWidth="1"/>
    <col min="9" max="9" width="3.140625" customWidth="1"/>
    <col min="10" max="10" width="7.7109375" customWidth="1"/>
    <col min="11" max="11" width="11.42578125" customWidth="1"/>
    <col min="12" max="12" width="6.7109375" customWidth="1"/>
  </cols>
  <sheetData>
    <row r="1" spans="1:12" ht="18.75" x14ac:dyDescent="0.3">
      <c r="A1" s="532" t="s">
        <v>1288</v>
      </c>
      <c r="B1" s="532"/>
      <c r="C1" s="532"/>
      <c r="D1" s="532"/>
      <c r="E1" s="532"/>
      <c r="F1" s="532"/>
      <c r="G1" s="532"/>
      <c r="H1" s="532"/>
      <c r="I1" s="532"/>
      <c r="J1" s="532"/>
      <c r="K1" s="532"/>
      <c r="L1" s="532"/>
    </row>
    <row r="2" spans="1:12" ht="18.75" x14ac:dyDescent="0.3">
      <c r="A2" s="532" t="s">
        <v>1289</v>
      </c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2" ht="6" customHeight="1" thickBot="1" x14ac:dyDescent="0.3">
      <c r="A3" s="307"/>
      <c r="B3" s="308"/>
      <c r="C3" s="308"/>
      <c r="D3" s="308"/>
      <c r="E3" s="308"/>
      <c r="F3" s="308"/>
      <c r="G3" s="308"/>
      <c r="H3" s="308"/>
      <c r="I3" s="308"/>
      <c r="J3" s="308"/>
      <c r="K3" s="308"/>
      <c r="L3" s="308"/>
    </row>
    <row r="4" spans="1:12" ht="7.5" customHeight="1" x14ac:dyDescent="0.25">
      <c r="A4" s="166"/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</row>
    <row r="5" spans="1:12" x14ac:dyDescent="0.25">
      <c r="A5" s="533" t="s">
        <v>697</v>
      </c>
      <c r="B5" s="533"/>
      <c r="C5" s="295" t="s">
        <v>1243</v>
      </c>
      <c r="D5" s="526"/>
      <c r="E5" s="526"/>
      <c r="F5" s="202"/>
      <c r="G5" s="202"/>
      <c r="H5" s="202"/>
      <c r="I5" s="202"/>
      <c r="J5" s="202"/>
      <c r="K5" s="202"/>
      <c r="L5" s="202"/>
    </row>
    <row r="6" spans="1:12" x14ac:dyDescent="0.25">
      <c r="A6" s="533" t="s">
        <v>698</v>
      </c>
      <c r="B6" s="533"/>
      <c r="C6" s="295" t="s">
        <v>1243</v>
      </c>
      <c r="D6" s="526"/>
      <c r="E6" s="526"/>
      <c r="F6" s="202"/>
      <c r="G6" s="202"/>
      <c r="H6" s="202"/>
      <c r="I6" s="202"/>
      <c r="J6" s="202"/>
      <c r="K6" s="202"/>
      <c r="L6" s="202"/>
    </row>
    <row r="7" spans="1:12" x14ac:dyDescent="0.25">
      <c r="A7" s="533" t="s">
        <v>699</v>
      </c>
      <c r="B7" s="533"/>
      <c r="C7" s="295" t="s">
        <v>1243</v>
      </c>
      <c r="D7" s="526"/>
      <c r="E7" s="526"/>
      <c r="F7" s="202"/>
      <c r="G7" s="202"/>
      <c r="H7" s="202"/>
      <c r="I7" s="202"/>
      <c r="J7" s="202"/>
      <c r="K7" s="202"/>
      <c r="L7" s="202"/>
    </row>
    <row r="8" spans="1:12" x14ac:dyDescent="0.25">
      <c r="A8" s="533" t="s">
        <v>700</v>
      </c>
      <c r="B8" s="533"/>
      <c r="C8" s="295" t="s">
        <v>1243</v>
      </c>
      <c r="D8" s="526"/>
      <c r="E8" s="526"/>
      <c r="F8" s="202"/>
      <c r="G8" s="202"/>
      <c r="H8" s="202"/>
      <c r="I8" s="202"/>
      <c r="J8" s="202"/>
      <c r="K8" s="202"/>
      <c r="L8" s="202"/>
    </row>
    <row r="9" spans="1:12" x14ac:dyDescent="0.25">
      <c r="A9" s="527" t="s">
        <v>1290</v>
      </c>
      <c r="B9" s="528"/>
      <c r="C9" s="528"/>
      <c r="D9" s="528"/>
      <c r="E9" s="528"/>
      <c r="F9" s="528"/>
      <c r="G9" s="528"/>
      <c r="H9" s="528"/>
      <c r="I9" s="528"/>
      <c r="J9" s="528"/>
      <c r="K9" s="528"/>
      <c r="L9" s="202"/>
    </row>
    <row r="10" spans="1:12" s="36" customFormat="1" ht="30" customHeight="1" x14ac:dyDescent="0.25">
      <c r="A10" s="551" t="s">
        <v>1291</v>
      </c>
      <c r="B10" s="551"/>
      <c r="C10" s="551"/>
      <c r="D10" s="551"/>
      <c r="E10" s="553" t="s">
        <v>1292</v>
      </c>
      <c r="F10" s="551" t="s">
        <v>1293</v>
      </c>
      <c r="G10" s="551"/>
      <c r="H10" s="551" t="s">
        <v>1296</v>
      </c>
      <c r="I10" s="551"/>
      <c r="J10" s="551"/>
      <c r="K10" s="552"/>
      <c r="L10" s="296"/>
    </row>
    <row r="11" spans="1:12" s="283" customFormat="1" ht="34.5" customHeight="1" x14ac:dyDescent="0.25">
      <c r="A11" s="552"/>
      <c r="B11" s="552"/>
      <c r="C11" s="552"/>
      <c r="D11" s="552"/>
      <c r="E11" s="548"/>
      <c r="F11" s="297" t="s">
        <v>1294</v>
      </c>
      <c r="G11" s="297" t="s">
        <v>1295</v>
      </c>
      <c r="H11" s="548" t="s">
        <v>1294</v>
      </c>
      <c r="I11" s="548"/>
      <c r="J11" s="555" t="s">
        <v>1297</v>
      </c>
      <c r="K11" s="556"/>
      <c r="L11" s="298"/>
    </row>
    <row r="12" spans="1:12" x14ac:dyDescent="0.25">
      <c r="A12" s="549" t="s">
        <v>1298</v>
      </c>
      <c r="B12" s="549"/>
      <c r="C12" s="549"/>
      <c r="D12" s="549"/>
      <c r="E12" s="299"/>
      <c r="F12" s="299"/>
      <c r="G12" s="299"/>
      <c r="H12" s="549"/>
      <c r="I12" s="549"/>
      <c r="J12" s="524"/>
      <c r="K12" s="525"/>
    </row>
    <row r="13" spans="1:12" x14ac:dyDescent="0.25">
      <c r="A13" s="289"/>
      <c r="B13" s="289"/>
      <c r="C13" s="289"/>
      <c r="D13" s="289"/>
      <c r="E13" s="290"/>
      <c r="F13" s="290"/>
      <c r="G13" s="290"/>
      <c r="H13" s="288"/>
      <c r="I13" s="288"/>
      <c r="J13" s="288"/>
      <c r="K13" s="288"/>
    </row>
    <row r="14" spans="1:12" x14ac:dyDescent="0.25">
      <c r="A14" s="539" t="s">
        <v>1338</v>
      </c>
      <c r="B14" s="540"/>
      <c r="C14" s="540"/>
      <c r="D14" s="540"/>
      <c r="E14" s="540"/>
      <c r="F14" s="540"/>
      <c r="G14" s="540"/>
      <c r="H14" s="540"/>
      <c r="I14" s="293"/>
      <c r="J14" s="294"/>
      <c r="K14" s="286"/>
    </row>
    <row r="15" spans="1:12" s="233" customFormat="1" ht="45" x14ac:dyDescent="0.25">
      <c r="A15" s="542" t="s">
        <v>1291</v>
      </c>
      <c r="B15" s="542"/>
      <c r="C15" s="542"/>
      <c r="D15" s="542"/>
      <c r="E15" s="292" t="s">
        <v>1299</v>
      </c>
      <c r="F15" s="292" t="s">
        <v>1300</v>
      </c>
      <c r="G15" s="292" t="s">
        <v>1301</v>
      </c>
      <c r="H15" s="292" t="s">
        <v>1302</v>
      </c>
      <c r="I15" s="285"/>
    </row>
    <row r="16" spans="1:12" x14ac:dyDescent="0.25">
      <c r="A16" s="538" t="s">
        <v>1298</v>
      </c>
      <c r="B16" s="538"/>
      <c r="C16" s="538"/>
      <c r="D16" s="538"/>
      <c r="E16" s="284"/>
      <c r="F16" s="284"/>
      <c r="G16" s="284"/>
      <c r="H16" s="284"/>
      <c r="I16" s="27"/>
    </row>
    <row r="17" spans="1:12" x14ac:dyDescent="0.25">
      <c r="A17" s="288"/>
      <c r="B17" s="288"/>
      <c r="C17" s="288"/>
      <c r="D17" s="288"/>
      <c r="E17" s="27"/>
      <c r="F17" s="27"/>
      <c r="G17" s="27"/>
      <c r="H17" s="27"/>
      <c r="I17" s="27"/>
    </row>
    <row r="18" spans="1:12" x14ac:dyDescent="0.25">
      <c r="A18" s="539" t="s">
        <v>1339</v>
      </c>
      <c r="B18" s="540"/>
      <c r="C18" s="540"/>
      <c r="D18" s="540"/>
      <c r="E18" s="540"/>
      <c r="F18" s="540"/>
      <c r="G18" s="540"/>
      <c r="H18" s="540"/>
      <c r="I18" s="540"/>
      <c r="J18" s="540"/>
      <c r="K18" s="540"/>
      <c r="L18" s="541"/>
    </row>
    <row r="19" spans="1:12" x14ac:dyDescent="0.25">
      <c r="A19" s="554" t="s">
        <v>1291</v>
      </c>
      <c r="B19" s="554"/>
      <c r="C19" s="534" t="s">
        <v>1311</v>
      </c>
      <c r="D19" s="535"/>
      <c r="E19" s="535"/>
      <c r="F19" s="535"/>
      <c r="G19" s="536"/>
      <c r="H19" s="546" t="s">
        <v>1298</v>
      </c>
      <c r="I19" s="547"/>
      <c r="J19" s="547"/>
      <c r="K19" s="536"/>
      <c r="L19" s="284" t="s">
        <v>1312</v>
      </c>
    </row>
    <row r="20" spans="1:12" x14ac:dyDescent="0.25">
      <c r="A20" s="543" t="s">
        <v>1293</v>
      </c>
      <c r="B20" s="543"/>
      <c r="C20" s="284">
        <v>1</v>
      </c>
      <c r="D20" s="529" t="s">
        <v>1303</v>
      </c>
      <c r="E20" s="529"/>
      <c r="F20" s="529"/>
      <c r="G20" s="529"/>
      <c r="H20" s="534"/>
      <c r="I20" s="535"/>
      <c r="J20" s="535"/>
      <c r="K20" s="536"/>
      <c r="L20" s="301"/>
    </row>
    <row r="21" spans="1:12" x14ac:dyDescent="0.25">
      <c r="A21" s="543"/>
      <c r="B21" s="543"/>
      <c r="C21" s="284">
        <v>2</v>
      </c>
      <c r="D21" s="529" t="s">
        <v>1304</v>
      </c>
      <c r="E21" s="529"/>
      <c r="F21" s="529"/>
      <c r="G21" s="529"/>
      <c r="H21" s="534"/>
      <c r="I21" s="535"/>
      <c r="J21" s="535"/>
      <c r="K21" s="536"/>
      <c r="L21" s="301"/>
    </row>
    <row r="22" spans="1:12" x14ac:dyDescent="0.25">
      <c r="A22" s="543"/>
      <c r="B22" s="543"/>
      <c r="C22" s="284">
        <v>3</v>
      </c>
      <c r="D22" s="529" t="s">
        <v>1305</v>
      </c>
      <c r="E22" s="529"/>
      <c r="F22" s="529"/>
      <c r="G22" s="529"/>
      <c r="H22" s="534"/>
      <c r="I22" s="535"/>
      <c r="J22" s="535"/>
      <c r="K22" s="536"/>
      <c r="L22" s="301"/>
    </row>
    <row r="23" spans="1:12" x14ac:dyDescent="0.25">
      <c r="A23" s="543"/>
      <c r="B23" s="543"/>
      <c r="C23" s="284">
        <v>4</v>
      </c>
      <c r="D23" s="529" t="s">
        <v>1306</v>
      </c>
      <c r="E23" s="529"/>
      <c r="F23" s="529"/>
      <c r="G23" s="529"/>
      <c r="H23" s="534"/>
      <c r="I23" s="535"/>
      <c r="J23" s="535"/>
      <c r="K23" s="536"/>
      <c r="L23" s="301"/>
    </row>
    <row r="24" spans="1:12" x14ac:dyDescent="0.25">
      <c r="A24" s="543"/>
      <c r="B24" s="543"/>
      <c r="C24" s="284">
        <v>5</v>
      </c>
      <c r="D24" s="529" t="s">
        <v>1307</v>
      </c>
      <c r="E24" s="529"/>
      <c r="F24" s="529"/>
      <c r="G24" s="529"/>
      <c r="H24" s="534"/>
      <c r="I24" s="535"/>
      <c r="J24" s="535"/>
      <c r="K24" s="536"/>
      <c r="L24" s="301"/>
    </row>
    <row r="25" spans="1:12" x14ac:dyDescent="0.25">
      <c r="A25" s="543"/>
      <c r="B25" s="543"/>
      <c r="C25" s="284">
        <v>6</v>
      </c>
      <c r="D25" s="529" t="s">
        <v>1308</v>
      </c>
      <c r="E25" s="529"/>
      <c r="F25" s="529"/>
      <c r="G25" s="529"/>
      <c r="H25" s="534"/>
      <c r="I25" s="535"/>
      <c r="J25" s="535"/>
      <c r="K25" s="536"/>
      <c r="L25" s="301"/>
    </row>
    <row r="26" spans="1:12" x14ac:dyDescent="0.25">
      <c r="A26" s="543"/>
      <c r="B26" s="543"/>
      <c r="C26" s="284">
        <v>7</v>
      </c>
      <c r="D26" s="529" t="s">
        <v>1309</v>
      </c>
      <c r="E26" s="529"/>
      <c r="F26" s="529"/>
      <c r="G26" s="529"/>
      <c r="H26" s="534"/>
      <c r="I26" s="535"/>
      <c r="J26" s="535"/>
      <c r="K26" s="536"/>
      <c r="L26" s="301"/>
    </row>
    <row r="27" spans="1:12" x14ac:dyDescent="0.25">
      <c r="A27" s="543"/>
      <c r="B27" s="543"/>
      <c r="C27" s="284">
        <v>8</v>
      </c>
      <c r="D27" s="529" t="s">
        <v>1310</v>
      </c>
      <c r="E27" s="529"/>
      <c r="F27" s="529"/>
      <c r="G27" s="529"/>
      <c r="H27" s="534"/>
      <c r="I27" s="535"/>
      <c r="J27" s="535"/>
      <c r="K27" s="536"/>
      <c r="L27" s="301"/>
    </row>
    <row r="28" spans="1:12" ht="15" customHeight="1" x14ac:dyDescent="0.25">
      <c r="A28" s="531" t="s">
        <v>1313</v>
      </c>
      <c r="B28" s="531"/>
      <c r="C28" s="284">
        <v>1</v>
      </c>
      <c r="D28" s="529" t="s">
        <v>1314</v>
      </c>
      <c r="E28" s="529"/>
      <c r="F28" s="529"/>
      <c r="G28" s="529"/>
      <c r="H28" s="534"/>
      <c r="I28" s="535"/>
      <c r="J28" s="535"/>
      <c r="K28" s="536"/>
      <c r="L28" s="301"/>
    </row>
    <row r="29" spans="1:12" x14ac:dyDescent="0.25">
      <c r="A29" s="531"/>
      <c r="B29" s="531"/>
      <c r="C29" s="284">
        <v>2</v>
      </c>
      <c r="D29" s="529" t="s">
        <v>1315</v>
      </c>
      <c r="E29" s="529"/>
      <c r="F29" s="529"/>
      <c r="G29" s="529"/>
      <c r="H29" s="534"/>
      <c r="I29" s="535"/>
      <c r="J29" s="535"/>
      <c r="K29" s="536"/>
      <c r="L29" s="301"/>
    </row>
    <row r="30" spans="1:12" x14ac:dyDescent="0.25">
      <c r="A30" s="531"/>
      <c r="B30" s="531"/>
      <c r="C30" s="284">
        <v>3</v>
      </c>
      <c r="D30" s="529" t="s">
        <v>1316</v>
      </c>
      <c r="E30" s="529"/>
      <c r="F30" s="529"/>
      <c r="G30" s="529"/>
      <c r="H30" s="534"/>
      <c r="I30" s="535"/>
      <c r="J30" s="535"/>
      <c r="K30" s="536"/>
      <c r="L30" s="301"/>
    </row>
    <row r="31" spans="1:12" x14ac:dyDescent="0.25">
      <c r="A31" s="531"/>
      <c r="B31" s="531"/>
      <c r="C31" s="538">
        <v>4</v>
      </c>
      <c r="D31" s="537" t="s">
        <v>1317</v>
      </c>
      <c r="E31" s="537"/>
      <c r="F31" s="537"/>
      <c r="G31" s="537"/>
      <c r="H31" s="534" t="s">
        <v>1340</v>
      </c>
      <c r="I31" s="536"/>
      <c r="J31" s="534" t="s">
        <v>1341</v>
      </c>
      <c r="K31" s="536"/>
      <c r="L31" s="301"/>
    </row>
    <row r="32" spans="1:12" x14ac:dyDescent="0.25">
      <c r="A32" s="531"/>
      <c r="B32" s="531"/>
      <c r="C32" s="538"/>
      <c r="D32" s="537"/>
      <c r="E32" s="537"/>
      <c r="F32" s="537"/>
      <c r="G32" s="537"/>
      <c r="H32" s="524"/>
      <c r="I32" s="525"/>
      <c r="J32" s="524"/>
      <c r="K32" s="525"/>
      <c r="L32" s="301"/>
    </row>
    <row r="33" spans="1:12" x14ac:dyDescent="0.25">
      <c r="A33" s="531"/>
      <c r="B33" s="531"/>
      <c r="C33" s="284">
        <v>5</v>
      </c>
      <c r="D33" s="529" t="s">
        <v>1318</v>
      </c>
      <c r="E33" s="529"/>
      <c r="F33" s="529"/>
      <c r="G33" s="529"/>
      <c r="H33" s="534"/>
      <c r="I33" s="535"/>
      <c r="J33" s="535"/>
      <c r="K33" s="536"/>
      <c r="L33" s="301"/>
    </row>
    <row r="34" spans="1:12" x14ac:dyDescent="0.25">
      <c r="A34" s="531"/>
      <c r="B34" s="531"/>
      <c r="C34" s="284">
        <v>6</v>
      </c>
      <c r="D34" s="550" t="s">
        <v>1319</v>
      </c>
      <c r="E34" s="550"/>
      <c r="F34" s="550"/>
      <c r="G34" s="550"/>
      <c r="H34" s="534"/>
      <c r="I34" s="535"/>
      <c r="J34" s="535"/>
      <c r="K34" s="536"/>
      <c r="L34" s="301"/>
    </row>
    <row r="35" spans="1:12" x14ac:dyDescent="0.25">
      <c r="A35" s="531"/>
      <c r="B35" s="531"/>
      <c r="C35" s="284">
        <v>7</v>
      </c>
      <c r="D35" s="550" t="s">
        <v>1320</v>
      </c>
      <c r="E35" s="550"/>
      <c r="F35" s="550"/>
      <c r="G35" s="550"/>
      <c r="H35" s="534"/>
      <c r="I35" s="535"/>
      <c r="J35" s="535"/>
      <c r="K35" s="536"/>
      <c r="L35" s="301"/>
    </row>
    <row r="36" spans="1:12" x14ac:dyDescent="0.25">
      <c r="A36" s="531"/>
      <c r="B36" s="531"/>
      <c r="C36" s="284">
        <v>8</v>
      </c>
      <c r="D36" s="529" t="s">
        <v>1321</v>
      </c>
      <c r="E36" s="529"/>
      <c r="F36" s="529"/>
      <c r="G36" s="529"/>
      <c r="H36" s="534"/>
      <c r="I36" s="535"/>
      <c r="J36" s="535"/>
      <c r="K36" s="536"/>
      <c r="L36" s="301"/>
    </row>
    <row r="37" spans="1:12" x14ac:dyDescent="0.25">
      <c r="A37" s="531"/>
      <c r="B37" s="531"/>
      <c r="C37" s="284">
        <v>9</v>
      </c>
      <c r="D37" s="529" t="s">
        <v>1322</v>
      </c>
      <c r="E37" s="529"/>
      <c r="F37" s="529"/>
      <c r="G37" s="529"/>
      <c r="H37" s="534"/>
      <c r="I37" s="535"/>
      <c r="J37" s="535"/>
      <c r="K37" s="536"/>
      <c r="L37" s="301"/>
    </row>
    <row r="38" spans="1:12" x14ac:dyDescent="0.25">
      <c r="A38" s="531"/>
      <c r="B38" s="531"/>
      <c r="C38" s="284">
        <v>10</v>
      </c>
      <c r="D38" s="529" t="s">
        <v>1323</v>
      </c>
      <c r="E38" s="529"/>
      <c r="F38" s="529"/>
      <c r="G38" s="529"/>
      <c r="H38" s="534"/>
      <c r="I38" s="535"/>
      <c r="J38" s="535"/>
      <c r="K38" s="536"/>
      <c r="L38" s="301"/>
    </row>
    <row r="39" spans="1:12" x14ac:dyDescent="0.25">
      <c r="A39" s="538" t="s">
        <v>1324</v>
      </c>
      <c r="B39" s="538"/>
      <c r="C39" s="284">
        <v>1</v>
      </c>
      <c r="D39" s="529" t="s">
        <v>1325</v>
      </c>
      <c r="E39" s="529"/>
      <c r="F39" s="529"/>
      <c r="G39" s="529"/>
      <c r="H39" s="538"/>
      <c r="I39" s="538"/>
      <c r="J39" s="538"/>
      <c r="K39" s="538"/>
      <c r="L39" s="301"/>
    </row>
    <row r="40" spans="1:12" x14ac:dyDescent="0.25">
      <c r="A40" s="289"/>
      <c r="B40" s="289"/>
      <c r="C40" s="290"/>
      <c r="D40" s="289"/>
      <c r="E40" s="289"/>
      <c r="F40" s="289"/>
      <c r="G40" s="289"/>
      <c r="H40" s="288"/>
      <c r="I40" s="288"/>
      <c r="J40" s="288"/>
      <c r="K40" s="288"/>
      <c r="L40" s="27"/>
    </row>
    <row r="41" spans="1:12" x14ac:dyDescent="0.25">
      <c r="A41" s="539" t="s">
        <v>1326</v>
      </c>
      <c r="B41" s="540"/>
      <c r="C41" s="540"/>
      <c r="D41" s="540"/>
      <c r="E41" s="540"/>
      <c r="F41" s="540"/>
      <c r="G41" s="541"/>
    </row>
    <row r="42" spans="1:12" ht="24" customHeight="1" x14ac:dyDescent="0.25">
      <c r="A42" s="542" t="s">
        <v>703</v>
      </c>
      <c r="B42" s="542" t="s">
        <v>1291</v>
      </c>
      <c r="C42" s="542"/>
      <c r="D42" s="542"/>
      <c r="E42" s="542" t="s">
        <v>1327</v>
      </c>
      <c r="F42" s="542"/>
      <c r="G42" s="530" t="s">
        <v>1330</v>
      </c>
    </row>
    <row r="43" spans="1:12" ht="35.25" customHeight="1" x14ac:dyDescent="0.25">
      <c r="A43" s="543"/>
      <c r="B43" s="543"/>
      <c r="C43" s="543"/>
      <c r="D43" s="543"/>
      <c r="E43" s="287" t="s">
        <v>1328</v>
      </c>
      <c r="F43" s="95" t="s">
        <v>1329</v>
      </c>
      <c r="G43" s="531"/>
    </row>
    <row r="44" spans="1:12" x14ac:dyDescent="0.25">
      <c r="A44" s="284">
        <v>1</v>
      </c>
      <c r="B44" s="529" t="s">
        <v>1293</v>
      </c>
      <c r="C44" s="529"/>
      <c r="D44" s="529"/>
      <c r="E44" s="284"/>
      <c r="F44" s="284"/>
      <c r="G44" s="300"/>
    </row>
    <row r="45" spans="1:12" x14ac:dyDescent="0.25">
      <c r="A45" s="284">
        <v>2</v>
      </c>
      <c r="B45" s="529" t="s">
        <v>1296</v>
      </c>
      <c r="C45" s="529"/>
      <c r="D45" s="529"/>
      <c r="E45" s="301"/>
      <c r="F45" s="301"/>
      <c r="G45" s="300"/>
    </row>
    <row r="46" spans="1:12" x14ac:dyDescent="0.25">
      <c r="A46" s="288"/>
      <c r="B46" s="291"/>
      <c r="C46" s="291"/>
      <c r="D46" s="291"/>
      <c r="E46" s="27"/>
      <c r="F46" s="27"/>
      <c r="G46" s="27"/>
    </row>
    <row r="47" spans="1:12" x14ac:dyDescent="0.25">
      <c r="A47" s="539" t="s">
        <v>1342</v>
      </c>
      <c r="B47" s="540"/>
      <c r="C47" s="540"/>
      <c r="D47" s="540"/>
      <c r="E47" s="540"/>
      <c r="F47" s="540"/>
      <c r="G47" s="541"/>
    </row>
    <row r="48" spans="1:12" ht="35.25" customHeight="1" x14ac:dyDescent="0.25">
      <c r="A48" s="544" t="s">
        <v>703</v>
      </c>
      <c r="B48" s="542" t="s">
        <v>1331</v>
      </c>
      <c r="C48" s="542"/>
      <c r="D48" s="542"/>
      <c r="E48" s="542" t="s">
        <v>1332</v>
      </c>
      <c r="F48" s="530" t="s">
        <v>1333</v>
      </c>
      <c r="G48" s="530"/>
    </row>
    <row r="49" spans="1:7" ht="18.75" customHeight="1" x14ac:dyDescent="0.25">
      <c r="A49" s="545"/>
      <c r="B49" s="543"/>
      <c r="C49" s="543"/>
      <c r="D49" s="543"/>
      <c r="E49" s="543"/>
      <c r="F49" s="287" t="s">
        <v>1336</v>
      </c>
      <c r="G49" s="287" t="s">
        <v>1337</v>
      </c>
    </row>
    <row r="50" spans="1:7" x14ac:dyDescent="0.25">
      <c r="A50" s="287">
        <v>1</v>
      </c>
      <c r="B50" s="537" t="s">
        <v>1334</v>
      </c>
      <c r="C50" s="537"/>
      <c r="D50" s="537"/>
      <c r="E50" s="302"/>
      <c r="F50" s="302"/>
      <c r="G50" s="302"/>
    </row>
    <row r="51" spans="1:7" x14ac:dyDescent="0.25">
      <c r="A51" s="234">
        <v>2</v>
      </c>
      <c r="B51" s="537" t="s">
        <v>1335</v>
      </c>
      <c r="C51" s="537"/>
      <c r="D51" s="537"/>
      <c r="E51" s="302"/>
      <c r="F51" s="302"/>
      <c r="G51" s="302"/>
    </row>
  </sheetData>
  <mergeCells count="86">
    <mergeCell ref="D23:G23"/>
    <mergeCell ref="D24:G24"/>
    <mergeCell ref="D25:G25"/>
    <mergeCell ref="F10:G10"/>
    <mergeCell ref="A15:D15"/>
    <mergeCell ref="A16:D16"/>
    <mergeCell ref="A10:D11"/>
    <mergeCell ref="E10:E11"/>
    <mergeCell ref="A12:D12"/>
    <mergeCell ref="A19:B19"/>
    <mergeCell ref="A20:B27"/>
    <mergeCell ref="C19:G19"/>
    <mergeCell ref="A18:L18"/>
    <mergeCell ref="A14:H14"/>
    <mergeCell ref="H10:K10"/>
    <mergeCell ref="J11:K11"/>
    <mergeCell ref="J31:K31"/>
    <mergeCell ref="J32:K32"/>
    <mergeCell ref="D26:G26"/>
    <mergeCell ref="D27:G27"/>
    <mergeCell ref="D28:G28"/>
    <mergeCell ref="D29:G29"/>
    <mergeCell ref="D30:G30"/>
    <mergeCell ref="H27:K27"/>
    <mergeCell ref="H28:K28"/>
    <mergeCell ref="H29:K29"/>
    <mergeCell ref="H30:K30"/>
    <mergeCell ref="D36:G36"/>
    <mergeCell ref="D37:G37"/>
    <mergeCell ref="D38:G38"/>
    <mergeCell ref="A28:B38"/>
    <mergeCell ref="H11:I11"/>
    <mergeCell ref="H12:I12"/>
    <mergeCell ref="H31:I31"/>
    <mergeCell ref="H32:I32"/>
    <mergeCell ref="C31:C32"/>
    <mergeCell ref="D31:G32"/>
    <mergeCell ref="D33:G33"/>
    <mergeCell ref="D34:G34"/>
    <mergeCell ref="D35:G35"/>
    <mergeCell ref="D20:G20"/>
    <mergeCell ref="D21:G21"/>
    <mergeCell ref="D22:G22"/>
    <mergeCell ref="H19:K19"/>
    <mergeCell ref="H20:K20"/>
    <mergeCell ref="H21:K21"/>
    <mergeCell ref="H22:K22"/>
    <mergeCell ref="H23:K23"/>
    <mergeCell ref="H24:K24"/>
    <mergeCell ref="B51:D51"/>
    <mergeCell ref="H38:K38"/>
    <mergeCell ref="D39:G39"/>
    <mergeCell ref="H39:K39"/>
    <mergeCell ref="A39:B39"/>
    <mergeCell ref="A41:G41"/>
    <mergeCell ref="A47:G47"/>
    <mergeCell ref="E42:F42"/>
    <mergeCell ref="A42:A43"/>
    <mergeCell ref="B42:D43"/>
    <mergeCell ref="A48:A49"/>
    <mergeCell ref="B48:D49"/>
    <mergeCell ref="E48:E49"/>
    <mergeCell ref="F48:G48"/>
    <mergeCell ref="B50:D50"/>
    <mergeCell ref="B44:D44"/>
    <mergeCell ref="B45:D45"/>
    <mergeCell ref="G42:G43"/>
    <mergeCell ref="A1:L1"/>
    <mergeCell ref="A2:L2"/>
    <mergeCell ref="A5:B5"/>
    <mergeCell ref="A6:B6"/>
    <mergeCell ref="A7:B7"/>
    <mergeCell ref="A8:B8"/>
    <mergeCell ref="H33:K33"/>
    <mergeCell ref="H34:K34"/>
    <mergeCell ref="H35:K35"/>
    <mergeCell ref="H36:K36"/>
    <mergeCell ref="H37:K37"/>
    <mergeCell ref="H25:K25"/>
    <mergeCell ref="H26:K26"/>
    <mergeCell ref="J12:K12"/>
    <mergeCell ref="D5:E5"/>
    <mergeCell ref="D7:E7"/>
    <mergeCell ref="D6:E6"/>
    <mergeCell ref="D8:E8"/>
    <mergeCell ref="A9:K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INPUTAN DESA ....</vt:lpstr>
      <vt:lpstr>OLAH DATA PERITEM IDM 2020</vt:lpstr>
      <vt:lpstr>Grafik IKS</vt:lpstr>
      <vt:lpstr>Grafik IKE</vt:lpstr>
      <vt:lpstr>Grafik IKL</vt:lpstr>
      <vt:lpstr>Grafik IDM</vt:lpstr>
      <vt:lpstr>REKAP STATISTIK DESA 2020</vt:lpstr>
      <vt:lpstr>Lap. Stunting</vt:lpstr>
      <vt:lpstr>'OLAH DATA PERITEM IDM 2020'!Print_Area</vt:lpstr>
      <vt:lpstr>'REKAP STATISTIK DESA 2020'!Print_Area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P3MD</cp:lastModifiedBy>
  <cp:lastPrinted>2020-02-21T03:49:24Z</cp:lastPrinted>
  <dcterms:created xsi:type="dcterms:W3CDTF">2017-09-05T02:45:55Z</dcterms:created>
  <dcterms:modified xsi:type="dcterms:W3CDTF">2020-03-10T05:20:08Z</dcterms:modified>
</cp:coreProperties>
</file>